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895" tabRatio="846" activeTab="0"/>
  </bookViews>
  <sheets>
    <sheet name="Mayoría relativa" sheetId="1" r:id="rId1"/>
    <sheet name="Representación prop" sheetId="2" state="hidden" r:id="rId2"/>
    <sheet name="casillas especiales" sheetId="3" state="hidden" r:id="rId3"/>
    <sheet name="Casillas anuladas TEEM" sheetId="4" state="hidden" r:id="rId4"/>
  </sheets>
  <definedNames>
    <definedName name="_xlnm.Print_Area" localSheetId="0">'Mayoría relativa'!$A$1:$X$61</definedName>
    <definedName name="_xlnm.Print_Area" localSheetId="1">'Representación prop'!$A$1:$X$61</definedName>
    <definedName name="_xlnm.Print_Titles" localSheetId="2">'casillas especiales'!$1:$5</definedName>
    <definedName name="_xlnm.Print_Titles" localSheetId="1">'Representación prop'!$1:$7</definedName>
    <definedName name="votvalefec">#REF!</definedName>
  </definedNames>
  <calcPr fullCalcOnLoad="1"/>
</workbook>
</file>

<file path=xl/sharedStrings.xml><?xml version="1.0" encoding="utf-8"?>
<sst xmlns="http://schemas.openxmlformats.org/spreadsheetml/2006/main" count="411" uniqueCount="88">
  <si>
    <t>PAN</t>
  </si>
  <si>
    <t>PRD</t>
  </si>
  <si>
    <t>PT</t>
  </si>
  <si>
    <t>PSN</t>
  </si>
  <si>
    <t>PAS</t>
  </si>
  <si>
    <t>TOTAL</t>
  </si>
  <si>
    <t>C</t>
  </si>
  <si>
    <t>PACEM</t>
  </si>
  <si>
    <t xml:space="preserve">     </t>
  </si>
  <si>
    <t>DISTRITO / CABECERA</t>
  </si>
  <si>
    <t>NO REG.</t>
  </si>
  <si>
    <t>VOTOS</t>
  </si>
  <si>
    <t>%</t>
  </si>
  <si>
    <t>TOLUCA</t>
  </si>
  <si>
    <t>TEMOAYA</t>
  </si>
  <si>
    <t>TENANGO DEL VALLE</t>
  </si>
  <si>
    <t>TIANGUISTENCO</t>
  </si>
  <si>
    <t>SULTEPEC</t>
  </si>
  <si>
    <t>TEJUPILCO</t>
  </si>
  <si>
    <t>VALLE DE BRAVO</t>
  </si>
  <si>
    <t>SANTO TOMAS</t>
  </si>
  <si>
    <t>EL ORO</t>
  </si>
  <si>
    <t>ATLACOMULCO</t>
  </si>
  <si>
    <t>JILOTEPEC</t>
  </si>
  <si>
    <t>IXTLAHUACA</t>
  </si>
  <si>
    <t>ATIZAPAN DE ZARAGOZA</t>
  </si>
  <si>
    <t>HUIXQUILUCAN</t>
  </si>
  <si>
    <t>CUAUTITLAN</t>
  </si>
  <si>
    <t>ZUMPANGO</t>
  </si>
  <si>
    <t>ECATEPEC</t>
  </si>
  <si>
    <t>TEXCOCO</t>
  </si>
  <si>
    <t>NEZAHUALCOYOTL</t>
  </si>
  <si>
    <t>CHALCO</t>
  </si>
  <si>
    <t>AMECAMECA</t>
  </si>
  <si>
    <t>NAUCALPAN</t>
  </si>
  <si>
    <t>LA PAZ</t>
  </si>
  <si>
    <t>IXTAPAN DE LA SAL</t>
  </si>
  <si>
    <t>METEPEC</t>
  </si>
  <si>
    <t>VILLA DEL CARBON</t>
  </si>
  <si>
    <t>COACALCO</t>
  </si>
  <si>
    <t>OTUMBA</t>
  </si>
  <si>
    <t>IXTAPALUCA</t>
  </si>
  <si>
    <t>CUAUTITLAN IZCALLI</t>
  </si>
  <si>
    <t>NICOLAS ROMERO</t>
  </si>
  <si>
    <t>ZINACANTEPEC</t>
  </si>
  <si>
    <t>APT (PRI - PVEM)</t>
  </si>
  <si>
    <t>LERMA</t>
  </si>
  <si>
    <t>TENANCINGO</t>
  </si>
  <si>
    <t>TLALNEPANTLA</t>
  </si>
  <si>
    <t>APT          (PRI - PVEM)</t>
  </si>
  <si>
    <t>VOTOS NULOS</t>
  </si>
  <si>
    <t>(porcentaje)</t>
  </si>
  <si>
    <t>TOTAL DE VOTOS</t>
  </si>
  <si>
    <t>PROCESOS ELECTORALES 2002 - 2003</t>
  </si>
  <si>
    <t>INSTITUTO ELECTORAL DEL ESTADO DE MÉXICO</t>
  </si>
  <si>
    <t>SECCION</t>
  </si>
  <si>
    <t>CASILLA</t>
  </si>
  <si>
    <t>RESULTADOS DE LAS CASILLAS ESPECIALES POR EL PRINCIPIO DE REPRESENTACIÓN PROPORCIONAL</t>
  </si>
  <si>
    <t>ESP</t>
  </si>
  <si>
    <t>RESULTADOS DE LAS CASILLAS ANULADAS POR EL TRIBUNAL ELECTORAL DEL ESTADO DE MEXICO</t>
  </si>
  <si>
    <r>
      <t xml:space="preserve">IXTLAHUACA </t>
    </r>
    <r>
      <rPr>
        <vertAlign val="superscript"/>
        <sz val="10"/>
        <rFont val="Arial Narrow"/>
        <family val="2"/>
      </rPr>
      <t>1</t>
    </r>
  </si>
  <si>
    <t>1 - Resolución al juicio JI/101/2003</t>
  </si>
  <si>
    <t>C3</t>
  </si>
  <si>
    <t>C1</t>
  </si>
  <si>
    <t>B</t>
  </si>
  <si>
    <t>Subtotal</t>
  </si>
  <si>
    <t>2 - Resolución al juicio JI/60/2003</t>
  </si>
  <si>
    <t>3 - Resolución al juicio JI/91/2003</t>
  </si>
  <si>
    <r>
      <t xml:space="preserve">COACALCO </t>
    </r>
    <r>
      <rPr>
        <vertAlign val="superscript"/>
        <sz val="10"/>
        <rFont val="Arial Narrow"/>
        <family val="2"/>
      </rPr>
      <t>3</t>
    </r>
  </si>
  <si>
    <r>
      <t xml:space="preserve">ECATEPEC </t>
    </r>
    <r>
      <rPr>
        <vertAlign val="superscript"/>
        <sz val="10"/>
        <rFont val="Arial Narrow"/>
        <family val="2"/>
      </rPr>
      <t>2</t>
    </r>
  </si>
  <si>
    <t>NOTAS:</t>
  </si>
  <si>
    <t>C2</t>
  </si>
  <si>
    <r>
      <t xml:space="preserve">ECATEPEC </t>
    </r>
    <r>
      <rPr>
        <vertAlign val="superscript"/>
        <sz val="10"/>
        <rFont val="Arial Narrow"/>
        <family val="2"/>
      </rPr>
      <t>4</t>
    </r>
  </si>
  <si>
    <r>
      <t>ECATEPEC</t>
    </r>
    <r>
      <rPr>
        <vertAlign val="superscript"/>
        <sz val="10"/>
        <rFont val="Arial Narrow"/>
        <family val="2"/>
      </rPr>
      <t xml:space="preserve"> 5</t>
    </r>
  </si>
  <si>
    <r>
      <t xml:space="preserve">NAUCALPAN </t>
    </r>
    <r>
      <rPr>
        <vertAlign val="superscript"/>
        <sz val="10"/>
        <rFont val="Arial Narrow"/>
        <family val="2"/>
      </rPr>
      <t>6</t>
    </r>
  </si>
  <si>
    <t>por el TEEM</t>
  </si>
  <si>
    <t xml:space="preserve">Votos anulados </t>
  </si>
  <si>
    <t>4 - Resolución a los juicios JI/68/2003 y JI/69/2003 acumulados</t>
  </si>
  <si>
    <t>5 - Resolución al juicio JI/109/2003</t>
  </si>
  <si>
    <t>6 - Resolución a los juicios JI/144/2003 y JI/145/2003 acumulados</t>
  </si>
  <si>
    <t>Lista nominal</t>
  </si>
  <si>
    <t>Participación</t>
  </si>
  <si>
    <t>de electores</t>
  </si>
  <si>
    <t>ciudadana</t>
  </si>
  <si>
    <t>RESULTADOS DEL CÓMPUTO DE LA ELECCIÓN DE DIPUTADOS POR EL PRINCIPIO DE REPRESENTACION PROPORCIONAL (incluye resoluciones del TEEM y del TEPJF)</t>
  </si>
  <si>
    <t>CÓMPUTOS DISTRITALES</t>
  </si>
  <si>
    <t>RESULTADOS DE LA SESIÓN DE CÓMPUTO DE LOS CONSEJOS DISTRITALES (Principio de Mayoría Relativa),  (incluye resoluciones del TEEM y del TEPJF)</t>
  </si>
  <si>
    <t>General - El Tribunal Electoral del Poder Judicial de la Federación no modificó ningún resultado.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</si>
</sst>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%"/>
    <numFmt numFmtId="166" formatCode="0.000%"/>
    <numFmt numFmtId="167" formatCode="0.0000%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6"/>
      <name val="Arial"/>
      <family val="0"/>
    </font>
    <font>
      <b/>
      <u val="single"/>
      <sz val="8"/>
      <name val="Arial"/>
      <family val="2"/>
    </font>
    <font>
      <sz val="10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i/>
      <sz val="10"/>
      <color indexed="53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1" fillId="2" borderId="1" xfId="0" applyNumberFormat="1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0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7" fillId="0" borderId="7" xfId="0" applyNumberFormat="1" applyFont="1" applyFill="1" applyBorder="1" applyAlignment="1">
      <alignment/>
    </xf>
    <xf numFmtId="10" fontId="7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3" fontId="7" fillId="0" borderId="9" xfId="0" applyNumberFormat="1" applyFont="1" applyFill="1" applyBorder="1" applyAlignment="1">
      <alignment/>
    </xf>
    <xf numFmtId="10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8" xfId="0" applyNumberFormat="1" applyFont="1" applyFill="1" applyBorder="1" applyAlignment="1">
      <alignment horizontal="center"/>
    </xf>
    <xf numFmtId="3" fontId="7" fillId="0" borderId="9" xfId="0" applyNumberFormat="1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1" fillId="2" borderId="14" xfId="0" applyNumberFormat="1" applyFont="1" applyFill="1" applyBorder="1" applyAlignment="1">
      <alignment horizontal="center"/>
    </xf>
    <xf numFmtId="10" fontId="1" fillId="2" borderId="15" xfId="0" applyNumberFormat="1" applyFont="1" applyFill="1" applyBorder="1" applyAlignment="1">
      <alignment/>
    </xf>
    <xf numFmtId="0" fontId="1" fillId="2" borderId="16" xfId="0" applyFont="1" applyFill="1" applyBorder="1" applyAlignment="1">
      <alignment horizontal="centerContinuous" vertical="center" wrapText="1"/>
    </xf>
    <xf numFmtId="0" fontId="1" fillId="2" borderId="17" xfId="0" applyFont="1" applyFill="1" applyBorder="1" applyAlignment="1">
      <alignment horizontal="centerContinuous" vertical="center" wrapText="1"/>
    </xf>
    <xf numFmtId="0" fontId="11" fillId="2" borderId="18" xfId="0" applyFont="1" applyFill="1" applyBorder="1" applyAlignment="1">
      <alignment horizontal="center"/>
    </xf>
    <xf numFmtId="165" fontId="0" fillId="2" borderId="18" xfId="0" applyNumberFormat="1" applyFont="1" applyFill="1" applyBorder="1" applyAlignment="1">
      <alignment horizontal="center"/>
    </xf>
    <xf numFmtId="0" fontId="0" fillId="2" borderId="19" xfId="0" applyFont="1" applyFill="1" applyBorder="1" applyAlignment="1">
      <alignment/>
    </xf>
    <xf numFmtId="0" fontId="1" fillId="2" borderId="18" xfId="0" applyFont="1" applyFill="1" applyBorder="1" applyAlignment="1">
      <alignment horizontal="centerContinuous" vertical="center" wrapText="1"/>
    </xf>
    <xf numFmtId="0" fontId="0" fillId="2" borderId="18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165" fontId="1" fillId="2" borderId="1" xfId="0" applyNumberFormat="1" applyFont="1" applyFill="1" applyBorder="1" applyAlignment="1">
      <alignment horizontal="centerContinuous"/>
    </xf>
    <xf numFmtId="0" fontId="1" fillId="2" borderId="18" xfId="0" applyFont="1" applyFill="1" applyBorder="1" applyAlignment="1">
      <alignment horizontal="centerContinuous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/>
    </xf>
    <xf numFmtId="0" fontId="1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2" borderId="18" xfId="0" applyFont="1" applyFill="1" applyBorder="1" applyAlignment="1">
      <alignment horizontal="centerContinuous"/>
    </xf>
    <xf numFmtId="0" fontId="15" fillId="2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26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/>
    </xf>
    <xf numFmtId="0" fontId="14" fillId="2" borderId="18" xfId="0" applyFont="1" applyFill="1" applyBorder="1" applyAlignment="1">
      <alignment/>
    </xf>
    <xf numFmtId="0" fontId="12" fillId="2" borderId="18" xfId="0" applyFont="1" applyFill="1" applyBorder="1" applyAlignment="1">
      <alignment/>
    </xf>
    <xf numFmtId="3" fontId="1" fillId="2" borderId="18" xfId="0" applyNumberFormat="1" applyFont="1" applyFill="1" applyBorder="1" applyAlignment="1">
      <alignment/>
    </xf>
    <xf numFmtId="10" fontId="1" fillId="2" borderId="18" xfId="0" applyNumberFormat="1" applyFont="1" applyFill="1" applyBorder="1" applyAlignment="1">
      <alignment/>
    </xf>
    <xf numFmtId="3" fontId="1" fillId="2" borderId="18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10" fontId="7" fillId="0" borderId="6" xfId="19" applyNumberFormat="1" applyFont="1" applyFill="1" applyBorder="1" applyAlignment="1">
      <alignment horizontal="center"/>
    </xf>
    <xf numFmtId="10" fontId="7" fillId="0" borderId="8" xfId="19" applyNumberFormat="1" applyFont="1" applyFill="1" applyBorder="1" applyAlignment="1">
      <alignment horizontal="center"/>
    </xf>
    <xf numFmtId="10" fontId="7" fillId="0" borderId="10" xfId="19" applyNumberFormat="1" applyFont="1" applyFill="1" applyBorder="1" applyAlignment="1">
      <alignment horizontal="center"/>
    </xf>
    <xf numFmtId="10" fontId="1" fillId="2" borderId="1" xfId="19" applyNumberFormat="1" applyFont="1" applyFill="1" applyBorder="1" applyAlignment="1">
      <alignment horizontal="center"/>
    </xf>
    <xf numFmtId="3" fontId="17" fillId="3" borderId="5" xfId="0" applyNumberFormat="1" applyFont="1" applyFill="1" applyBorder="1" applyAlignment="1">
      <alignment/>
    </xf>
    <xf numFmtId="10" fontId="17" fillId="3" borderId="11" xfId="0" applyNumberFormat="1" applyFont="1" applyFill="1" applyBorder="1" applyAlignment="1">
      <alignment/>
    </xf>
    <xf numFmtId="3" fontId="17" fillId="3" borderId="7" xfId="0" applyNumberFormat="1" applyFont="1" applyFill="1" applyBorder="1" applyAlignment="1">
      <alignment/>
    </xf>
    <xf numFmtId="10" fontId="17" fillId="3" borderId="12" xfId="0" applyNumberFormat="1" applyFont="1" applyFill="1" applyBorder="1" applyAlignment="1">
      <alignment/>
    </xf>
    <xf numFmtId="3" fontId="17" fillId="4" borderId="13" xfId="0" applyNumberFormat="1" applyFont="1" applyFill="1" applyBorder="1" applyAlignment="1">
      <alignment/>
    </xf>
    <xf numFmtId="10" fontId="17" fillId="4" borderId="13" xfId="0" applyNumberFormat="1" applyFont="1" applyFill="1" applyBorder="1" applyAlignment="1">
      <alignment/>
    </xf>
    <xf numFmtId="3" fontId="17" fillId="4" borderId="12" xfId="0" applyNumberFormat="1" applyFont="1" applyFill="1" applyBorder="1" applyAlignment="1">
      <alignment/>
    </xf>
    <xf numFmtId="10" fontId="17" fillId="4" borderId="12" xfId="0" applyNumberFormat="1" applyFont="1" applyFill="1" applyBorder="1" applyAlignment="1">
      <alignment/>
    </xf>
    <xf numFmtId="3" fontId="18" fillId="5" borderId="12" xfId="0" applyNumberFormat="1" applyFont="1" applyFill="1" applyBorder="1" applyAlignment="1">
      <alignment/>
    </xf>
    <xf numFmtId="10" fontId="18" fillId="5" borderId="12" xfId="0" applyNumberFormat="1" applyFont="1" applyFill="1" applyBorder="1" applyAlignment="1">
      <alignment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8" xfId="0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1276350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180975</xdr:colOff>
      <xdr:row>0</xdr:row>
      <xdr:rowOff>0</xdr:rowOff>
    </xdr:from>
    <xdr:to>
      <xdr:col>23</xdr:col>
      <xdr:colOff>695325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68350" y="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1295400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763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0</xdr:row>
      <xdr:rowOff>0</xdr:rowOff>
    </xdr:from>
    <xdr:to>
      <xdr:col>23</xdr:col>
      <xdr:colOff>657225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63600" y="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1314450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209550</xdr:colOff>
      <xdr:row>0</xdr:row>
      <xdr:rowOff>0</xdr:rowOff>
    </xdr:from>
    <xdr:to>
      <xdr:col>14</xdr:col>
      <xdr:colOff>742950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1314450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14</xdr:col>
      <xdr:colOff>561975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24950" y="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="75" zoomScaleNormal="75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C8" sqref="C8"/>
    </sheetView>
  </sheetViews>
  <sheetFormatPr defaultColWidth="11.421875" defaultRowHeight="12.75"/>
  <cols>
    <col min="1" max="1" width="3.7109375" style="0" customWidth="1"/>
    <col min="2" max="2" width="20.57421875" style="0" customWidth="1"/>
    <col min="3" max="3" width="8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8.7109375" style="0" customWidth="1"/>
    <col min="12" max="12" width="7.7109375" style="0" customWidth="1"/>
    <col min="13" max="13" width="8.7109375" style="0" customWidth="1"/>
    <col min="14" max="14" width="7.7109375" style="0" customWidth="1"/>
    <col min="15" max="15" width="8.7109375" style="0" customWidth="1"/>
    <col min="16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1" width="8.7109375" style="0" customWidth="1"/>
    <col min="22" max="22" width="7.7109375" style="0" customWidth="1"/>
    <col min="23" max="23" width="9.7109375" style="0" customWidth="1"/>
    <col min="24" max="24" width="12.8515625" style="0" customWidth="1"/>
  </cols>
  <sheetData>
    <row r="1" spans="1:25" ht="15.75">
      <c r="A1" t="s">
        <v>8</v>
      </c>
      <c r="D1" s="2" t="s">
        <v>54</v>
      </c>
      <c r="W1" s="1"/>
      <c r="X1" s="3"/>
      <c r="Y1" s="3"/>
    </row>
    <row r="2" spans="3:25" ht="15">
      <c r="C2" s="4"/>
      <c r="D2" s="20" t="s">
        <v>53</v>
      </c>
      <c r="W2" s="1"/>
      <c r="X2" s="3"/>
      <c r="Y2" s="3"/>
    </row>
    <row r="3" spans="3:25" ht="15">
      <c r="C3" s="5"/>
      <c r="D3" s="4" t="s">
        <v>86</v>
      </c>
      <c r="W3" s="1"/>
      <c r="X3" s="3"/>
      <c r="Y3" s="3"/>
    </row>
    <row r="4" spans="1:25" ht="10.5" customHeight="1">
      <c r="A4" s="6"/>
      <c r="B4" s="7"/>
      <c r="C4" s="6"/>
      <c r="D4" s="6"/>
      <c r="E4" s="6"/>
      <c r="F4" s="6"/>
      <c r="G4" s="8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9"/>
      <c r="X4" s="3"/>
      <c r="Y4" s="3"/>
    </row>
    <row r="5" spans="1:24" ht="12.75">
      <c r="A5" s="68" t="s">
        <v>9</v>
      </c>
      <c r="B5" s="69"/>
      <c r="C5" s="70" t="s">
        <v>0</v>
      </c>
      <c r="D5" s="71"/>
      <c r="E5" s="70" t="s">
        <v>45</v>
      </c>
      <c r="F5" s="71"/>
      <c r="G5" s="70" t="s">
        <v>1</v>
      </c>
      <c r="H5" s="71"/>
      <c r="I5" s="70" t="s">
        <v>2</v>
      </c>
      <c r="J5" s="71"/>
      <c r="K5" s="70" t="s">
        <v>6</v>
      </c>
      <c r="L5" s="71"/>
      <c r="M5" s="70" t="s">
        <v>3</v>
      </c>
      <c r="N5" s="71"/>
      <c r="O5" s="70" t="s">
        <v>4</v>
      </c>
      <c r="P5" s="71"/>
      <c r="Q5" s="70" t="s">
        <v>7</v>
      </c>
      <c r="R5" s="71"/>
      <c r="S5" s="70" t="s">
        <v>10</v>
      </c>
      <c r="T5" s="71"/>
      <c r="U5" s="72" t="s">
        <v>50</v>
      </c>
      <c r="V5" s="72"/>
      <c r="W5" s="73" t="s">
        <v>5</v>
      </c>
      <c r="X5" s="99" t="s">
        <v>76</v>
      </c>
    </row>
    <row r="6" spans="1:24" ht="13.5">
      <c r="A6" s="63"/>
      <c r="B6" s="64"/>
      <c r="C6" s="65" t="s">
        <v>11</v>
      </c>
      <c r="D6" s="66" t="s">
        <v>12</v>
      </c>
      <c r="E6" s="65" t="s">
        <v>11</v>
      </c>
      <c r="F6" s="66" t="s">
        <v>12</v>
      </c>
      <c r="G6" s="65" t="s">
        <v>11</v>
      </c>
      <c r="H6" s="66" t="s">
        <v>12</v>
      </c>
      <c r="I6" s="65" t="s">
        <v>11</v>
      </c>
      <c r="J6" s="66" t="s">
        <v>12</v>
      </c>
      <c r="K6" s="65" t="s">
        <v>11</v>
      </c>
      <c r="L6" s="66" t="s">
        <v>12</v>
      </c>
      <c r="M6" s="65" t="s">
        <v>11</v>
      </c>
      <c r="N6" s="66" t="s">
        <v>12</v>
      </c>
      <c r="O6" s="65" t="s">
        <v>11</v>
      </c>
      <c r="P6" s="66" t="s">
        <v>12</v>
      </c>
      <c r="Q6" s="65" t="s">
        <v>11</v>
      </c>
      <c r="R6" s="66" t="s">
        <v>12</v>
      </c>
      <c r="S6" s="65" t="s">
        <v>11</v>
      </c>
      <c r="T6" s="66" t="s">
        <v>12</v>
      </c>
      <c r="U6" s="65" t="s">
        <v>11</v>
      </c>
      <c r="V6" s="66" t="s">
        <v>12</v>
      </c>
      <c r="W6" s="67"/>
      <c r="X6" s="92" t="s">
        <v>75</v>
      </c>
    </row>
    <row r="7" spans="1:24" ht="12.75">
      <c r="A7" s="119" t="s">
        <v>5</v>
      </c>
      <c r="B7" s="120"/>
      <c r="C7" s="13">
        <f>SUM(C8:C52)</f>
        <v>997412</v>
      </c>
      <c r="D7" s="14">
        <f>C7/$W$7</f>
        <v>0.2866936263892933</v>
      </c>
      <c r="E7" s="13">
        <f>SUM(E8:E52)</f>
        <v>1211516</v>
      </c>
      <c r="F7" s="14">
        <f>E7/$W$7</f>
        <v>0.34823514803175726</v>
      </c>
      <c r="G7" s="13">
        <f>SUM(G8:G52)</f>
        <v>826234</v>
      </c>
      <c r="H7" s="14">
        <f>G7/$W$7</f>
        <v>0.2374906475018662</v>
      </c>
      <c r="I7" s="13">
        <f>SUM(I8:I52)</f>
        <v>147575</v>
      </c>
      <c r="J7" s="14">
        <f>I7/$W$7</f>
        <v>0.042418591228499315</v>
      </c>
      <c r="K7" s="13">
        <f>SUM(K8:K52)</f>
        <v>94751</v>
      </c>
      <c r="L7" s="14">
        <f>K7/$W$7</f>
        <v>0.027234991953186776</v>
      </c>
      <c r="M7" s="13">
        <f>SUM(M8:M52)</f>
        <v>30746</v>
      </c>
      <c r="N7" s="14">
        <f>M7/$W$7</f>
        <v>0.008837553826267592</v>
      </c>
      <c r="O7" s="13">
        <f>SUM(O8:O52)</f>
        <v>30380</v>
      </c>
      <c r="P7" s="14">
        <f>O7/$W$7</f>
        <v>0.008732351695895708</v>
      </c>
      <c r="Q7" s="13">
        <f>SUM(Q8:Q52)</f>
        <v>38722</v>
      </c>
      <c r="R7" s="14">
        <f>Q7/$W$7</f>
        <v>0.011130155443333562</v>
      </c>
      <c r="S7" s="13">
        <f>SUM(S8:S52)</f>
        <v>1642</v>
      </c>
      <c r="T7" s="14">
        <f>S7/$W$7</f>
        <v>0.0004719723991000906</v>
      </c>
      <c r="U7" s="13">
        <f>SUM(U8:U52)</f>
        <v>100039</v>
      </c>
      <c r="V7" s="14">
        <f>U7/$W$7</f>
        <v>0.028754961530800222</v>
      </c>
      <c r="W7" s="13">
        <f>SUM(W8:W52)</f>
        <v>3479017</v>
      </c>
      <c r="X7" s="94">
        <f>SUM(X8:X52)</f>
        <v>7463</v>
      </c>
    </row>
    <row r="8" spans="1:25" ht="12.75">
      <c r="A8" s="26">
        <v>1</v>
      </c>
      <c r="B8" s="27" t="s">
        <v>13</v>
      </c>
      <c r="C8" s="111">
        <v>39421</v>
      </c>
      <c r="D8" s="112">
        <f aca="true" t="shared" si="0" ref="D8:D52">C8/$W8</f>
        <v>0.42536822228216886</v>
      </c>
      <c r="E8" s="37">
        <v>33151</v>
      </c>
      <c r="F8" s="36">
        <f aca="true" t="shared" si="1" ref="F8:F52">E8/$W8</f>
        <v>0.3577124359320205</v>
      </c>
      <c r="G8" s="33">
        <v>10737</v>
      </c>
      <c r="H8" s="32">
        <f aca="true" t="shared" si="2" ref="H8:H52">G8/$W8</f>
        <v>0.11585648772592393</v>
      </c>
      <c r="I8" s="33">
        <v>3048</v>
      </c>
      <c r="J8" s="32">
        <f aca="true" t="shared" si="3" ref="J8:J52">I8/$W8</f>
        <v>0.03288912867547882</v>
      </c>
      <c r="K8" s="33">
        <v>2118</v>
      </c>
      <c r="L8" s="32">
        <f aca="true" t="shared" si="4" ref="L8:L52">K8/$W8</f>
        <v>0.022854059886700837</v>
      </c>
      <c r="M8" s="33">
        <v>474</v>
      </c>
      <c r="N8" s="32">
        <f aca="true" t="shared" si="5" ref="N8:N52">M8/$W8</f>
        <v>0.005114647963312652</v>
      </c>
      <c r="O8" s="33">
        <v>392</v>
      </c>
      <c r="P8" s="32">
        <f aca="true" t="shared" si="6" ref="P8:P52">O8/W8</f>
        <v>0.004229835446452657</v>
      </c>
      <c r="Q8" s="33">
        <v>716</v>
      </c>
      <c r="R8" s="32">
        <f aca="true" t="shared" si="7" ref="R8:R52">Q8/$W8</f>
        <v>0.007725923927704343</v>
      </c>
      <c r="S8" s="33">
        <v>49</v>
      </c>
      <c r="T8" s="32">
        <f aca="true" t="shared" si="8" ref="T8:T52">S8/$W8</f>
        <v>0.0005287294308065822</v>
      </c>
      <c r="U8" s="33">
        <v>2569</v>
      </c>
      <c r="V8" s="32">
        <f aca="true" t="shared" si="9" ref="V8:V52">U8/$W8</f>
        <v>0.027720528729430805</v>
      </c>
      <c r="W8" s="34">
        <f aca="true" t="shared" si="10" ref="W8:W52">C8+E8+G8+I8+K8+M8+O8+Q8+U8+S8</f>
        <v>92675</v>
      </c>
      <c r="X8" s="95">
        <v>0</v>
      </c>
      <c r="Y8" s="10"/>
    </row>
    <row r="9" spans="1:25" ht="12.75">
      <c r="A9" s="28">
        <v>2</v>
      </c>
      <c r="B9" s="29" t="s">
        <v>13</v>
      </c>
      <c r="C9" s="35">
        <v>40978</v>
      </c>
      <c r="D9" s="36">
        <f t="shared" si="0"/>
        <v>0.38273945733899967</v>
      </c>
      <c r="E9" s="115">
        <v>42874</v>
      </c>
      <c r="F9" s="116">
        <f t="shared" si="1"/>
        <v>0.4004483257834026</v>
      </c>
      <c r="G9" s="37">
        <v>11467</v>
      </c>
      <c r="H9" s="36">
        <f t="shared" si="2"/>
        <v>0.10710316163078504</v>
      </c>
      <c r="I9" s="37">
        <v>3073</v>
      </c>
      <c r="J9" s="36">
        <f t="shared" si="3"/>
        <v>0.02870219025825433</v>
      </c>
      <c r="K9" s="37">
        <v>3504</v>
      </c>
      <c r="L9" s="36">
        <f t="shared" si="4"/>
        <v>0.03272778218839023</v>
      </c>
      <c r="M9" s="37">
        <v>501</v>
      </c>
      <c r="N9" s="36">
        <f t="shared" si="5"/>
        <v>0.004679400364264699</v>
      </c>
      <c r="O9" s="37">
        <v>441</v>
      </c>
      <c r="P9" s="36">
        <f t="shared" si="6"/>
        <v>0.004118993135011442</v>
      </c>
      <c r="Q9" s="37">
        <v>775</v>
      </c>
      <c r="R9" s="36">
        <f t="shared" si="7"/>
        <v>0.007238593377854575</v>
      </c>
      <c r="S9" s="37">
        <v>26</v>
      </c>
      <c r="T9" s="36">
        <f t="shared" si="8"/>
        <v>0.00024284313267641152</v>
      </c>
      <c r="U9" s="37">
        <v>3426</v>
      </c>
      <c r="V9" s="36">
        <f t="shared" si="9"/>
        <v>0.031999252790361</v>
      </c>
      <c r="W9" s="38">
        <f t="shared" si="10"/>
        <v>107065</v>
      </c>
      <c r="X9" s="96">
        <v>0</v>
      </c>
      <c r="Y9" s="11"/>
    </row>
    <row r="10" spans="1:25" ht="12.75">
      <c r="A10" s="28">
        <v>3</v>
      </c>
      <c r="B10" s="29" t="s">
        <v>14</v>
      </c>
      <c r="C10" s="35">
        <v>9359</v>
      </c>
      <c r="D10" s="36">
        <f t="shared" si="0"/>
        <v>0.13285730509340754</v>
      </c>
      <c r="E10" s="115">
        <v>26428</v>
      </c>
      <c r="F10" s="116">
        <f t="shared" si="1"/>
        <v>0.37516325024132646</v>
      </c>
      <c r="G10" s="37">
        <v>17806</v>
      </c>
      <c r="H10" s="36">
        <f t="shared" si="2"/>
        <v>0.25276815626597016</v>
      </c>
      <c r="I10" s="37">
        <v>11830</v>
      </c>
      <c r="J10" s="36">
        <f t="shared" si="3"/>
        <v>0.1679348134688547</v>
      </c>
      <c r="K10" s="37">
        <v>1801</v>
      </c>
      <c r="L10" s="36">
        <f t="shared" si="4"/>
        <v>0.025566407359036966</v>
      </c>
      <c r="M10" s="37">
        <v>247</v>
      </c>
      <c r="N10" s="36">
        <f t="shared" si="5"/>
        <v>0.0035063312702288342</v>
      </c>
      <c r="O10" s="37">
        <v>202</v>
      </c>
      <c r="P10" s="36">
        <f t="shared" si="6"/>
        <v>0.002867525978081881</v>
      </c>
      <c r="Q10" s="37">
        <v>425</v>
      </c>
      <c r="R10" s="36">
        <f t="shared" si="7"/>
        <v>0.006033161092499006</v>
      </c>
      <c r="S10" s="37">
        <v>13</v>
      </c>
      <c r="T10" s="36">
        <f t="shared" si="8"/>
        <v>0.0001845437510646755</v>
      </c>
      <c r="U10" s="37">
        <v>2333</v>
      </c>
      <c r="V10" s="36">
        <f t="shared" si="9"/>
        <v>0.03311850547952984</v>
      </c>
      <c r="W10" s="38">
        <f t="shared" si="10"/>
        <v>70444</v>
      </c>
      <c r="X10" s="96">
        <v>0</v>
      </c>
      <c r="Y10" s="10"/>
    </row>
    <row r="11" spans="1:25" ht="12.75">
      <c r="A11" s="28">
        <v>4</v>
      </c>
      <c r="B11" s="29" t="s">
        <v>46</v>
      </c>
      <c r="C11" s="35">
        <v>16336</v>
      </c>
      <c r="D11" s="36">
        <f t="shared" si="0"/>
        <v>0.2346182570230367</v>
      </c>
      <c r="E11" s="115">
        <v>26363</v>
      </c>
      <c r="F11" s="116">
        <f t="shared" si="1"/>
        <v>0.37862641466076863</v>
      </c>
      <c r="G11" s="37">
        <v>14360</v>
      </c>
      <c r="H11" s="36">
        <f t="shared" si="2"/>
        <v>0.20623886942034814</v>
      </c>
      <c r="I11" s="37">
        <v>4190</v>
      </c>
      <c r="J11" s="36">
        <f t="shared" si="3"/>
        <v>0.06017694031136899</v>
      </c>
      <c r="K11" s="37">
        <v>1278</v>
      </c>
      <c r="L11" s="36">
        <f t="shared" si="4"/>
        <v>0.018354684896880566</v>
      </c>
      <c r="M11" s="37">
        <v>2252</v>
      </c>
      <c r="N11" s="36">
        <f t="shared" si="5"/>
        <v>0.03234331016257827</v>
      </c>
      <c r="O11" s="37">
        <v>1893</v>
      </c>
      <c r="P11" s="36">
        <f t="shared" si="6"/>
        <v>0.02718733842706957</v>
      </c>
      <c r="Q11" s="37">
        <v>1148</v>
      </c>
      <c r="R11" s="36">
        <f t="shared" si="7"/>
        <v>0.016487619923019475</v>
      </c>
      <c r="S11" s="37">
        <v>11</v>
      </c>
      <c r="T11" s="36">
        <f t="shared" si="8"/>
        <v>0.0001579824208651692</v>
      </c>
      <c r="U11" s="37">
        <v>1797</v>
      </c>
      <c r="V11" s="36">
        <f t="shared" si="9"/>
        <v>0.025808582754064457</v>
      </c>
      <c r="W11" s="38">
        <f t="shared" si="10"/>
        <v>69628</v>
      </c>
      <c r="X11" s="96">
        <v>0</v>
      </c>
      <c r="Y11" s="10"/>
    </row>
    <row r="12" spans="1:25" ht="12.75">
      <c r="A12" s="28">
        <v>5</v>
      </c>
      <c r="B12" s="29" t="s">
        <v>15</v>
      </c>
      <c r="C12" s="35">
        <v>9031</v>
      </c>
      <c r="D12" s="36">
        <f t="shared" si="0"/>
        <v>0.20844777841892673</v>
      </c>
      <c r="E12" s="115">
        <v>18609</v>
      </c>
      <c r="F12" s="116">
        <f t="shared" si="1"/>
        <v>0.4295210617426428</v>
      </c>
      <c r="G12" s="37">
        <v>9554</v>
      </c>
      <c r="H12" s="36">
        <f t="shared" si="2"/>
        <v>0.2205193306405078</v>
      </c>
      <c r="I12" s="37">
        <v>2950</v>
      </c>
      <c r="J12" s="36">
        <f t="shared" si="3"/>
        <v>0.06809001731102135</v>
      </c>
      <c r="K12" s="37">
        <v>252</v>
      </c>
      <c r="L12" s="36">
        <f t="shared" si="4"/>
        <v>0.0058165031736872475</v>
      </c>
      <c r="M12" s="37">
        <v>1352</v>
      </c>
      <c r="N12" s="36">
        <f t="shared" si="5"/>
        <v>0.03120600115406809</v>
      </c>
      <c r="O12" s="37">
        <v>80</v>
      </c>
      <c r="P12" s="36">
        <f t="shared" si="6"/>
        <v>0.0018465089440276976</v>
      </c>
      <c r="Q12" s="37">
        <v>143</v>
      </c>
      <c r="R12" s="36">
        <f t="shared" si="7"/>
        <v>0.0033006347374495097</v>
      </c>
      <c r="S12" s="37">
        <v>33</v>
      </c>
      <c r="T12" s="36">
        <f t="shared" si="8"/>
        <v>0.0007616849394114253</v>
      </c>
      <c r="U12" s="37">
        <v>1321</v>
      </c>
      <c r="V12" s="36">
        <f t="shared" si="9"/>
        <v>0.03049047893825736</v>
      </c>
      <c r="W12" s="38">
        <f t="shared" si="10"/>
        <v>43325</v>
      </c>
      <c r="X12" s="96">
        <v>0</v>
      </c>
      <c r="Y12" s="11"/>
    </row>
    <row r="13" spans="1:25" ht="12.75">
      <c r="A13" s="28">
        <v>6</v>
      </c>
      <c r="B13" s="29" t="s">
        <v>16</v>
      </c>
      <c r="C13" s="35">
        <v>8244</v>
      </c>
      <c r="D13" s="36">
        <f t="shared" si="0"/>
        <v>0.265165648118366</v>
      </c>
      <c r="E13" s="115">
        <v>11223</v>
      </c>
      <c r="F13" s="116">
        <f t="shared" si="1"/>
        <v>0.36098423930524287</v>
      </c>
      <c r="G13" s="37">
        <v>8439</v>
      </c>
      <c r="H13" s="36">
        <f t="shared" si="2"/>
        <v>0.2714377613380508</v>
      </c>
      <c r="I13" s="37">
        <v>1637</v>
      </c>
      <c r="J13" s="36">
        <f t="shared" si="3"/>
        <v>0.052653586362174334</v>
      </c>
      <c r="K13" s="37">
        <v>381</v>
      </c>
      <c r="L13" s="36">
        <f t="shared" si="4"/>
        <v>0.012254744290768735</v>
      </c>
      <c r="M13" s="37">
        <v>53</v>
      </c>
      <c r="N13" s="36">
        <f t="shared" si="5"/>
        <v>0.001704728208427147</v>
      </c>
      <c r="O13" s="37">
        <v>44</v>
      </c>
      <c r="P13" s="36">
        <f t="shared" si="6"/>
        <v>0.0014152460598263108</v>
      </c>
      <c r="Q13" s="37">
        <v>155</v>
      </c>
      <c r="R13" s="36">
        <f t="shared" si="7"/>
        <v>0.004985525892569958</v>
      </c>
      <c r="S13" s="37">
        <v>1</v>
      </c>
      <c r="T13" s="36">
        <f t="shared" si="8"/>
        <v>3.21646831778707E-05</v>
      </c>
      <c r="U13" s="37">
        <v>913</v>
      </c>
      <c r="V13" s="36">
        <f t="shared" si="9"/>
        <v>0.02936635574139595</v>
      </c>
      <c r="W13" s="38">
        <f t="shared" si="10"/>
        <v>31090</v>
      </c>
      <c r="X13" s="96">
        <v>0</v>
      </c>
      <c r="Y13" s="11"/>
    </row>
    <row r="14" spans="1:25" ht="12.75">
      <c r="A14" s="28">
        <v>7</v>
      </c>
      <c r="B14" s="29" t="s">
        <v>47</v>
      </c>
      <c r="C14" s="35">
        <v>14532</v>
      </c>
      <c r="D14" s="36">
        <f t="shared" si="0"/>
        <v>0.314940834814269</v>
      </c>
      <c r="E14" s="115">
        <v>17878</v>
      </c>
      <c r="F14" s="116">
        <f t="shared" si="1"/>
        <v>0.38745611373585886</v>
      </c>
      <c r="G14" s="37">
        <v>8818</v>
      </c>
      <c r="H14" s="36">
        <f t="shared" si="2"/>
        <v>0.1911057171340644</v>
      </c>
      <c r="I14" s="37">
        <v>2576</v>
      </c>
      <c r="J14" s="36">
        <f t="shared" si="3"/>
        <v>0.0558276624333579</v>
      </c>
      <c r="K14" s="37">
        <v>55</v>
      </c>
      <c r="L14" s="36">
        <f t="shared" si="4"/>
        <v>0.0011919726063022843</v>
      </c>
      <c r="M14" s="37">
        <v>104</v>
      </c>
      <c r="N14" s="36">
        <f t="shared" si="5"/>
        <v>0.002253911837371592</v>
      </c>
      <c r="O14" s="37">
        <v>270</v>
      </c>
      <c r="P14" s="36">
        <f t="shared" si="6"/>
        <v>0.005851501885483941</v>
      </c>
      <c r="Q14" s="37">
        <v>391</v>
      </c>
      <c r="R14" s="36">
        <f t="shared" si="7"/>
        <v>0.008473841619348966</v>
      </c>
      <c r="S14" s="37">
        <v>17</v>
      </c>
      <c r="T14" s="36">
        <f t="shared" si="8"/>
        <v>0.0003684278964934333</v>
      </c>
      <c r="U14" s="37">
        <v>1501</v>
      </c>
      <c r="V14" s="36">
        <f t="shared" si="9"/>
        <v>0.032530016037449615</v>
      </c>
      <c r="W14" s="38">
        <f t="shared" si="10"/>
        <v>46142</v>
      </c>
      <c r="X14" s="96">
        <v>0</v>
      </c>
      <c r="Y14" s="10"/>
    </row>
    <row r="15" spans="1:25" ht="12.75">
      <c r="A15" s="28">
        <v>8</v>
      </c>
      <c r="B15" s="29" t="s">
        <v>17</v>
      </c>
      <c r="C15" s="35">
        <v>9578</v>
      </c>
      <c r="D15" s="36">
        <f t="shared" si="0"/>
        <v>0.26713895241814023</v>
      </c>
      <c r="E15" s="115">
        <v>15867</v>
      </c>
      <c r="F15" s="116">
        <f t="shared" si="1"/>
        <v>0.4425447648797903</v>
      </c>
      <c r="G15" s="37">
        <v>6222</v>
      </c>
      <c r="H15" s="36">
        <f t="shared" si="2"/>
        <v>0.17353712277570146</v>
      </c>
      <c r="I15" s="37">
        <v>1265</v>
      </c>
      <c r="J15" s="36">
        <f t="shared" si="3"/>
        <v>0.03528197690634239</v>
      </c>
      <c r="K15" s="37">
        <v>84</v>
      </c>
      <c r="L15" s="36">
        <f t="shared" si="4"/>
        <v>0.0023428348301444747</v>
      </c>
      <c r="M15" s="37">
        <v>85</v>
      </c>
      <c r="N15" s="36">
        <f t="shared" si="5"/>
        <v>0.002370725720979528</v>
      </c>
      <c r="O15" s="37">
        <v>734</v>
      </c>
      <c r="P15" s="36">
        <f t="shared" si="6"/>
        <v>0.020471913872929102</v>
      </c>
      <c r="Q15" s="37">
        <v>842</v>
      </c>
      <c r="R15" s="36">
        <f t="shared" si="7"/>
        <v>0.023484130083114854</v>
      </c>
      <c r="S15" s="37">
        <v>5</v>
      </c>
      <c r="T15" s="36">
        <f t="shared" si="8"/>
        <v>0.00013945445417526636</v>
      </c>
      <c r="U15" s="37">
        <v>1172</v>
      </c>
      <c r="V15" s="36">
        <f t="shared" si="9"/>
        <v>0.03268812405868243</v>
      </c>
      <c r="W15" s="38">
        <f t="shared" si="10"/>
        <v>35854</v>
      </c>
      <c r="X15" s="96">
        <v>0</v>
      </c>
      <c r="Y15" s="12"/>
    </row>
    <row r="16" spans="1:25" ht="12.75">
      <c r="A16" s="28">
        <v>9</v>
      </c>
      <c r="B16" s="29" t="s">
        <v>18</v>
      </c>
      <c r="C16" s="35">
        <v>3074</v>
      </c>
      <c r="D16" s="36">
        <f t="shared" si="0"/>
        <v>0.056066243525206096</v>
      </c>
      <c r="E16" s="37">
        <v>20435</v>
      </c>
      <c r="F16" s="36">
        <f t="shared" si="1"/>
        <v>0.372711023564602</v>
      </c>
      <c r="G16" s="117">
        <v>23739</v>
      </c>
      <c r="H16" s="118">
        <f t="shared" si="2"/>
        <v>0.43297220398336617</v>
      </c>
      <c r="I16" s="37">
        <v>590</v>
      </c>
      <c r="J16" s="36">
        <f t="shared" si="3"/>
        <v>0.01076092507477931</v>
      </c>
      <c r="K16" s="37">
        <v>4499</v>
      </c>
      <c r="L16" s="36">
        <f t="shared" si="4"/>
        <v>0.08205661340920697</v>
      </c>
      <c r="M16" s="37">
        <v>124</v>
      </c>
      <c r="N16" s="36">
        <f t="shared" si="5"/>
        <v>0.00226161815130955</v>
      </c>
      <c r="O16" s="37">
        <v>102</v>
      </c>
      <c r="P16" s="36">
        <f t="shared" si="6"/>
        <v>0.0018603633180126942</v>
      </c>
      <c r="Q16" s="37">
        <v>294</v>
      </c>
      <c r="R16" s="36">
        <f t="shared" si="7"/>
        <v>0.005362223681330707</v>
      </c>
      <c r="S16" s="37">
        <v>15</v>
      </c>
      <c r="T16" s="36">
        <f t="shared" si="8"/>
        <v>0.00027358284088421976</v>
      </c>
      <c r="U16" s="37">
        <v>1956</v>
      </c>
      <c r="V16" s="36">
        <f t="shared" si="9"/>
        <v>0.035675202451302256</v>
      </c>
      <c r="W16" s="38">
        <f t="shared" si="10"/>
        <v>54828</v>
      </c>
      <c r="X16" s="96">
        <v>0</v>
      </c>
      <c r="Y16" s="11"/>
    </row>
    <row r="17" spans="1:25" ht="12.75">
      <c r="A17" s="28">
        <v>10</v>
      </c>
      <c r="B17" s="29" t="s">
        <v>19</v>
      </c>
      <c r="C17" s="35">
        <v>10980</v>
      </c>
      <c r="D17" s="36">
        <f t="shared" si="0"/>
        <v>0.22563343813574996</v>
      </c>
      <c r="E17" s="115">
        <v>22245</v>
      </c>
      <c r="F17" s="116">
        <f t="shared" si="1"/>
        <v>0.457123481906171</v>
      </c>
      <c r="G17" s="37">
        <v>9757</v>
      </c>
      <c r="H17" s="36">
        <f t="shared" si="2"/>
        <v>0.20050140764030167</v>
      </c>
      <c r="I17" s="37">
        <v>2964</v>
      </c>
      <c r="J17" s="36">
        <f t="shared" si="3"/>
        <v>0.06090869860057949</v>
      </c>
      <c r="K17" s="37">
        <v>138</v>
      </c>
      <c r="L17" s="36">
        <f t="shared" si="4"/>
        <v>0.002835830096788114</v>
      </c>
      <c r="M17" s="37">
        <v>223</v>
      </c>
      <c r="N17" s="36">
        <f t="shared" si="5"/>
        <v>0.004582537040461953</v>
      </c>
      <c r="O17" s="37">
        <v>105</v>
      </c>
      <c r="P17" s="36">
        <f t="shared" si="6"/>
        <v>0.002157696812773565</v>
      </c>
      <c r="Q17" s="37">
        <v>209</v>
      </c>
      <c r="R17" s="36">
        <f t="shared" si="7"/>
        <v>0.0042948441320921436</v>
      </c>
      <c r="S17" s="37">
        <v>31</v>
      </c>
      <c r="T17" s="36">
        <f t="shared" si="8"/>
        <v>0.0006370342971045764</v>
      </c>
      <c r="U17" s="37">
        <v>2011</v>
      </c>
      <c r="V17" s="36">
        <f t="shared" si="9"/>
        <v>0.04132503133797752</v>
      </c>
      <c r="W17" s="38">
        <f t="shared" si="10"/>
        <v>48663</v>
      </c>
      <c r="X17" s="96">
        <v>0</v>
      </c>
      <c r="Y17" s="11"/>
    </row>
    <row r="18" spans="1:25" ht="12.75">
      <c r="A18" s="28">
        <v>11</v>
      </c>
      <c r="B18" s="29" t="s">
        <v>20</v>
      </c>
      <c r="C18" s="35">
        <v>5479</v>
      </c>
      <c r="D18" s="36">
        <f t="shared" si="0"/>
        <v>0.18528287849582362</v>
      </c>
      <c r="E18" s="115">
        <v>10448</v>
      </c>
      <c r="F18" s="116">
        <f t="shared" si="1"/>
        <v>0.3533191302289405</v>
      </c>
      <c r="G18" s="37">
        <v>10136</v>
      </c>
      <c r="H18" s="36">
        <f t="shared" si="2"/>
        <v>0.3427682526799905</v>
      </c>
      <c r="I18" s="37">
        <v>2184</v>
      </c>
      <c r="J18" s="36">
        <f t="shared" si="3"/>
        <v>0.0738561428426499</v>
      </c>
      <c r="K18" s="37">
        <v>18</v>
      </c>
      <c r="L18" s="36">
        <f t="shared" si="4"/>
        <v>0.0006087044739778837</v>
      </c>
      <c r="M18" s="37">
        <v>50</v>
      </c>
      <c r="N18" s="36">
        <f t="shared" si="5"/>
        <v>0.0016908457610496771</v>
      </c>
      <c r="O18" s="37">
        <v>59</v>
      </c>
      <c r="P18" s="36">
        <f t="shared" si="6"/>
        <v>0.001995197998038619</v>
      </c>
      <c r="Q18" s="37">
        <v>15</v>
      </c>
      <c r="R18" s="36">
        <f t="shared" si="7"/>
        <v>0.0005072537283149031</v>
      </c>
      <c r="S18" s="37">
        <v>9</v>
      </c>
      <c r="T18" s="36">
        <f t="shared" si="8"/>
        <v>0.00030435223698894185</v>
      </c>
      <c r="U18" s="37">
        <v>1173</v>
      </c>
      <c r="V18" s="36">
        <f t="shared" si="9"/>
        <v>0.03966724155422542</v>
      </c>
      <c r="W18" s="38">
        <f t="shared" si="10"/>
        <v>29571</v>
      </c>
      <c r="X18" s="96">
        <v>0</v>
      </c>
      <c r="Y18" s="11"/>
    </row>
    <row r="19" spans="1:25" ht="12.75">
      <c r="A19" s="28">
        <v>12</v>
      </c>
      <c r="B19" s="29" t="s">
        <v>21</v>
      </c>
      <c r="C19" s="35">
        <v>12981</v>
      </c>
      <c r="D19" s="36">
        <f t="shared" si="0"/>
        <v>0.25314456210144504</v>
      </c>
      <c r="E19" s="115">
        <v>19389</v>
      </c>
      <c r="F19" s="116">
        <f t="shared" si="1"/>
        <v>0.37810799742584683</v>
      </c>
      <c r="G19" s="37">
        <v>7700</v>
      </c>
      <c r="H19" s="36">
        <f t="shared" si="2"/>
        <v>0.15015893445660017</v>
      </c>
      <c r="I19" s="37">
        <v>866</v>
      </c>
      <c r="J19" s="36">
        <f t="shared" si="3"/>
        <v>0.01688800483628776</v>
      </c>
      <c r="K19" s="37">
        <v>362</v>
      </c>
      <c r="L19" s="36">
        <f t="shared" si="4"/>
        <v>0.007059420035492112</v>
      </c>
      <c r="M19" s="37">
        <v>3279</v>
      </c>
      <c r="N19" s="36">
        <f t="shared" si="5"/>
        <v>0.06394430468612883</v>
      </c>
      <c r="O19" s="37">
        <v>456</v>
      </c>
      <c r="P19" s="36">
        <f t="shared" si="6"/>
        <v>0.008892529105481776</v>
      </c>
      <c r="Q19" s="37">
        <v>2448</v>
      </c>
      <c r="R19" s="36">
        <f t="shared" si="7"/>
        <v>0.04773884046100743</v>
      </c>
      <c r="S19" s="37">
        <v>303</v>
      </c>
      <c r="T19" s="36">
        <f t="shared" si="8"/>
        <v>0.005908851576668812</v>
      </c>
      <c r="U19" s="37">
        <v>3495</v>
      </c>
      <c r="V19" s="36">
        <f t="shared" si="9"/>
        <v>0.06815655531504125</v>
      </c>
      <c r="W19" s="38">
        <f t="shared" si="10"/>
        <v>51279</v>
      </c>
      <c r="X19" s="96">
        <v>0</v>
      </c>
      <c r="Y19" s="11"/>
    </row>
    <row r="20" spans="1:25" ht="12.75">
      <c r="A20" s="28">
        <v>13</v>
      </c>
      <c r="B20" s="29" t="s">
        <v>22</v>
      </c>
      <c r="C20" s="35">
        <v>21206</v>
      </c>
      <c r="D20" s="36">
        <f t="shared" si="0"/>
        <v>0.2707125896800878</v>
      </c>
      <c r="E20" s="115">
        <v>41037</v>
      </c>
      <c r="F20" s="116">
        <f t="shared" si="1"/>
        <v>0.5238721372584063</v>
      </c>
      <c r="G20" s="37">
        <v>9836</v>
      </c>
      <c r="H20" s="36">
        <f t="shared" si="2"/>
        <v>0.12556488880945693</v>
      </c>
      <c r="I20" s="37">
        <v>2128</v>
      </c>
      <c r="J20" s="36">
        <f t="shared" si="3"/>
        <v>0.027165726249138305</v>
      </c>
      <c r="K20" s="37">
        <v>209</v>
      </c>
      <c r="L20" s="36">
        <f t="shared" si="4"/>
        <v>0.0026680623994689407</v>
      </c>
      <c r="M20" s="37">
        <v>242</v>
      </c>
      <c r="N20" s="36">
        <f t="shared" si="5"/>
        <v>0.003089335409911405</v>
      </c>
      <c r="O20" s="37">
        <v>179</v>
      </c>
      <c r="P20" s="36">
        <f t="shared" si="6"/>
        <v>0.002285086935430337</v>
      </c>
      <c r="Q20" s="37">
        <v>201</v>
      </c>
      <c r="R20" s="36">
        <f t="shared" si="7"/>
        <v>0.0025659356090586465</v>
      </c>
      <c r="S20" s="37">
        <v>30</v>
      </c>
      <c r="T20" s="36">
        <f t="shared" si="8"/>
        <v>0.0003829754640386039</v>
      </c>
      <c r="U20" s="37">
        <v>3266</v>
      </c>
      <c r="V20" s="36">
        <f t="shared" si="9"/>
        <v>0.04169326218500268</v>
      </c>
      <c r="W20" s="38">
        <f t="shared" si="10"/>
        <v>78334</v>
      </c>
      <c r="X20" s="96">
        <v>0</v>
      </c>
      <c r="Y20" s="11"/>
    </row>
    <row r="21" spans="1:25" ht="12.75">
      <c r="A21" s="28">
        <v>14</v>
      </c>
      <c r="B21" s="29" t="s">
        <v>23</v>
      </c>
      <c r="C21" s="35">
        <v>15998</v>
      </c>
      <c r="D21" s="36">
        <f t="shared" si="0"/>
        <v>0.3618556467847368</v>
      </c>
      <c r="E21" s="115">
        <v>23064</v>
      </c>
      <c r="F21" s="116">
        <f t="shared" si="1"/>
        <v>0.5216801248558052</v>
      </c>
      <c r="G21" s="37">
        <v>2372</v>
      </c>
      <c r="H21" s="36">
        <f t="shared" si="2"/>
        <v>0.05365180611160118</v>
      </c>
      <c r="I21" s="37">
        <v>1193</v>
      </c>
      <c r="J21" s="36">
        <f t="shared" si="3"/>
        <v>0.02698423469272353</v>
      </c>
      <c r="K21" s="37">
        <v>48</v>
      </c>
      <c r="L21" s="36">
        <f t="shared" si="4"/>
        <v>0.0010857026531858587</v>
      </c>
      <c r="M21" s="37">
        <v>74</v>
      </c>
      <c r="N21" s="36">
        <f t="shared" si="5"/>
        <v>0.0016737915903281989</v>
      </c>
      <c r="O21" s="37">
        <v>112</v>
      </c>
      <c r="P21" s="36">
        <f t="shared" si="6"/>
        <v>0.0025333061907670037</v>
      </c>
      <c r="Q21" s="37">
        <v>150</v>
      </c>
      <c r="R21" s="36">
        <f t="shared" si="7"/>
        <v>0.0033928207912058087</v>
      </c>
      <c r="S21" s="37">
        <v>8</v>
      </c>
      <c r="T21" s="36">
        <f t="shared" si="8"/>
        <v>0.00018095044219764312</v>
      </c>
      <c r="U21" s="37">
        <v>1192</v>
      </c>
      <c r="V21" s="36">
        <f t="shared" si="9"/>
        <v>0.026961615887448824</v>
      </c>
      <c r="W21" s="38">
        <f t="shared" si="10"/>
        <v>44211</v>
      </c>
      <c r="X21" s="96">
        <v>0</v>
      </c>
      <c r="Y21" s="10"/>
    </row>
    <row r="22" spans="1:25" ht="15">
      <c r="A22" s="28">
        <v>15</v>
      </c>
      <c r="B22" s="29" t="s">
        <v>60</v>
      </c>
      <c r="C22" s="35">
        <f>12686-'Casillas anuladas TEEM'!E23</f>
        <v>12671</v>
      </c>
      <c r="D22" s="36">
        <f t="shared" si="0"/>
        <v>0.19355676402297445</v>
      </c>
      <c r="E22" s="115">
        <f>28024-'Casillas anuladas TEEM'!F23</f>
        <v>28002</v>
      </c>
      <c r="F22" s="116">
        <f t="shared" si="1"/>
        <v>0.4277465477208848</v>
      </c>
      <c r="G22" s="37">
        <f>4123-'Casillas anuladas TEEM'!G23</f>
        <v>4121</v>
      </c>
      <c r="H22" s="36">
        <f t="shared" si="2"/>
        <v>0.06295062935353782</v>
      </c>
      <c r="I22" s="37">
        <f>633-'Casillas anuladas TEEM'!H23</f>
        <v>633</v>
      </c>
      <c r="J22" s="36">
        <f t="shared" si="3"/>
        <v>0.00966943663693022</v>
      </c>
      <c r="K22" s="37">
        <f>16071-'Casillas anuladas TEEM'!I23</f>
        <v>16054</v>
      </c>
      <c r="L22" s="36">
        <f t="shared" si="4"/>
        <v>0.24523402175241354</v>
      </c>
      <c r="M22" s="37">
        <f>287-'Casillas anuladas TEEM'!J23</f>
        <v>287</v>
      </c>
      <c r="N22" s="36">
        <f t="shared" si="5"/>
        <v>0.004384088964927289</v>
      </c>
      <c r="O22" s="37">
        <f>282-'Casillas anuladas TEEM'!K23</f>
        <v>282</v>
      </c>
      <c r="P22" s="36">
        <f t="shared" si="6"/>
        <v>0.004307711108395454</v>
      </c>
      <c r="Q22" s="37">
        <f>348-'Casillas anuladas TEEM'!L23</f>
        <v>346</v>
      </c>
      <c r="R22" s="36">
        <f t="shared" si="7"/>
        <v>0.005285347672002933</v>
      </c>
      <c r="S22" s="37">
        <f>22-'Casillas anuladas TEEM'!M23</f>
        <v>22</v>
      </c>
      <c r="T22" s="36">
        <f t="shared" si="8"/>
        <v>0.00033606256874007086</v>
      </c>
      <c r="U22" s="37">
        <f>3048-'Casillas anuladas TEEM'!N23</f>
        <v>3046</v>
      </c>
      <c r="V22" s="36">
        <f t="shared" si="9"/>
        <v>0.04652939019919345</v>
      </c>
      <c r="W22" s="38">
        <f t="shared" si="10"/>
        <v>65464</v>
      </c>
      <c r="X22" s="96">
        <f>'Casillas anuladas TEEM'!O23</f>
        <v>60</v>
      </c>
      <c r="Y22" s="11"/>
    </row>
    <row r="23" spans="1:25" ht="12.75">
      <c r="A23" s="28">
        <v>16</v>
      </c>
      <c r="B23" s="29" t="s">
        <v>25</v>
      </c>
      <c r="C23" s="111">
        <v>50414</v>
      </c>
      <c r="D23" s="112">
        <f t="shared" si="0"/>
        <v>0.4444659954507785</v>
      </c>
      <c r="E23" s="37">
        <v>34284</v>
      </c>
      <c r="F23" s="36">
        <f t="shared" si="1"/>
        <v>0.30225874138204645</v>
      </c>
      <c r="G23" s="37">
        <v>18633</v>
      </c>
      <c r="H23" s="36">
        <f t="shared" si="2"/>
        <v>0.16427450496358859</v>
      </c>
      <c r="I23" s="37">
        <v>1482</v>
      </c>
      <c r="J23" s="36">
        <f t="shared" si="3"/>
        <v>0.013065787385608239</v>
      </c>
      <c r="K23" s="37">
        <v>1933</v>
      </c>
      <c r="L23" s="36">
        <f t="shared" si="4"/>
        <v>0.017041948054238004</v>
      </c>
      <c r="M23" s="37">
        <v>529</v>
      </c>
      <c r="N23" s="36">
        <f t="shared" si="5"/>
        <v>0.004663833688924938</v>
      </c>
      <c r="O23" s="37">
        <v>2605</v>
      </c>
      <c r="P23" s="36">
        <f t="shared" si="6"/>
        <v>0.022966515613704087</v>
      </c>
      <c r="Q23" s="37">
        <v>745</v>
      </c>
      <c r="R23" s="36">
        <f t="shared" si="7"/>
        <v>0.006568158975896179</v>
      </c>
      <c r="S23" s="37">
        <v>25</v>
      </c>
      <c r="T23" s="36">
        <f t="shared" si="8"/>
        <v>0.00022040801932537513</v>
      </c>
      <c r="U23" s="37">
        <v>2776</v>
      </c>
      <c r="V23" s="36">
        <f t="shared" si="9"/>
        <v>0.024474106465889656</v>
      </c>
      <c r="W23" s="38">
        <f t="shared" si="10"/>
        <v>113426</v>
      </c>
      <c r="X23" s="96">
        <v>0</v>
      </c>
      <c r="Y23" s="11"/>
    </row>
    <row r="24" spans="1:25" ht="12.75">
      <c r="A24" s="28">
        <v>17</v>
      </c>
      <c r="B24" s="29" t="s">
        <v>26</v>
      </c>
      <c r="C24" s="35">
        <v>19089</v>
      </c>
      <c r="D24" s="36">
        <f t="shared" si="0"/>
        <v>0.31065290977737275</v>
      </c>
      <c r="E24" s="115">
        <v>20668</v>
      </c>
      <c r="F24" s="116">
        <f t="shared" si="1"/>
        <v>0.3363494336674912</v>
      </c>
      <c r="G24" s="37">
        <v>15232</v>
      </c>
      <c r="H24" s="36">
        <f t="shared" si="2"/>
        <v>0.24788439005337848</v>
      </c>
      <c r="I24" s="37">
        <v>1185</v>
      </c>
      <c r="J24" s="36">
        <f t="shared" si="3"/>
        <v>0.019284598359588595</v>
      </c>
      <c r="K24" s="37">
        <v>1870</v>
      </c>
      <c r="L24" s="36">
        <f t="shared" si="4"/>
        <v>0.030432235386017446</v>
      </c>
      <c r="M24" s="37">
        <v>290</v>
      </c>
      <c r="N24" s="36">
        <f t="shared" si="5"/>
        <v>0.004719437573232652</v>
      </c>
      <c r="O24" s="37">
        <v>384</v>
      </c>
      <c r="P24" s="36">
        <f t="shared" si="6"/>
        <v>0.006249186303866684</v>
      </c>
      <c r="Q24" s="37">
        <v>1276</v>
      </c>
      <c r="R24" s="36">
        <f t="shared" si="7"/>
        <v>0.020765525322223668</v>
      </c>
      <c r="S24" s="37">
        <v>7</v>
      </c>
      <c r="T24" s="36">
        <f t="shared" si="8"/>
        <v>0.00011391745866423643</v>
      </c>
      <c r="U24" s="37">
        <v>1447</v>
      </c>
      <c r="V24" s="36">
        <f t="shared" si="9"/>
        <v>0.0235483660981643</v>
      </c>
      <c r="W24" s="38">
        <f t="shared" si="10"/>
        <v>61448</v>
      </c>
      <c r="X24" s="96">
        <v>0</v>
      </c>
      <c r="Y24" s="10"/>
    </row>
    <row r="25" spans="1:25" ht="12.75">
      <c r="A25" s="28">
        <v>18</v>
      </c>
      <c r="B25" s="29" t="s">
        <v>48</v>
      </c>
      <c r="C25" s="111">
        <v>59947</v>
      </c>
      <c r="D25" s="112">
        <f t="shared" si="0"/>
        <v>0.5755722405714725</v>
      </c>
      <c r="E25" s="37">
        <v>20107</v>
      </c>
      <c r="F25" s="36">
        <f t="shared" si="1"/>
        <v>0.19305438205699363</v>
      </c>
      <c r="G25" s="37">
        <v>18153</v>
      </c>
      <c r="H25" s="36">
        <f t="shared" si="2"/>
        <v>0.17429334050234274</v>
      </c>
      <c r="I25" s="37">
        <v>1349</v>
      </c>
      <c r="J25" s="36">
        <f t="shared" si="3"/>
        <v>0.012952223673093172</v>
      </c>
      <c r="K25" s="37">
        <v>1307</v>
      </c>
      <c r="L25" s="36">
        <f t="shared" si="4"/>
        <v>0.01254896689453875</v>
      </c>
      <c r="M25" s="37">
        <v>364</v>
      </c>
      <c r="N25" s="36">
        <f t="shared" si="5"/>
        <v>0.003494892080804977</v>
      </c>
      <c r="O25" s="37">
        <v>352</v>
      </c>
      <c r="P25" s="36">
        <f t="shared" si="6"/>
        <v>0.003379675858360857</v>
      </c>
      <c r="Q25" s="37">
        <v>445</v>
      </c>
      <c r="R25" s="36">
        <f t="shared" si="7"/>
        <v>0.0042726015823027885</v>
      </c>
      <c r="S25" s="37">
        <v>16</v>
      </c>
      <c r="T25" s="36">
        <f t="shared" si="8"/>
        <v>0.00015362162992549352</v>
      </c>
      <c r="U25" s="37">
        <v>2112</v>
      </c>
      <c r="V25" s="36">
        <f t="shared" si="9"/>
        <v>0.020278055150165144</v>
      </c>
      <c r="W25" s="38">
        <f t="shared" si="10"/>
        <v>104152</v>
      </c>
      <c r="X25" s="96">
        <v>0</v>
      </c>
      <c r="Y25" s="10"/>
    </row>
    <row r="26" spans="1:25" ht="12.75">
      <c r="A26" s="28">
        <v>19</v>
      </c>
      <c r="B26" s="29" t="s">
        <v>27</v>
      </c>
      <c r="C26" s="35">
        <v>22423</v>
      </c>
      <c r="D26" s="36">
        <f t="shared" si="0"/>
        <v>0.30875468164794007</v>
      </c>
      <c r="E26" s="115">
        <v>23985</v>
      </c>
      <c r="F26" s="116">
        <f t="shared" si="1"/>
        <v>0.3302627230667548</v>
      </c>
      <c r="G26" s="37">
        <v>16105</v>
      </c>
      <c r="H26" s="36">
        <f t="shared" si="2"/>
        <v>0.22175864727913638</v>
      </c>
      <c r="I26" s="37">
        <v>3971</v>
      </c>
      <c r="J26" s="36">
        <f t="shared" si="3"/>
        <v>0.05467889402952192</v>
      </c>
      <c r="K26" s="37">
        <v>3144</v>
      </c>
      <c r="L26" s="36">
        <f t="shared" si="4"/>
        <v>0.04329147389292796</v>
      </c>
      <c r="M26" s="37">
        <v>595</v>
      </c>
      <c r="N26" s="36">
        <f t="shared" si="5"/>
        <v>0.008192883895131085</v>
      </c>
      <c r="O26" s="37">
        <v>258</v>
      </c>
      <c r="P26" s="36">
        <f t="shared" si="6"/>
        <v>0.0035525446133509585</v>
      </c>
      <c r="Q26" s="37">
        <v>499</v>
      </c>
      <c r="R26" s="36">
        <f t="shared" si="7"/>
        <v>0.006871006829698171</v>
      </c>
      <c r="S26" s="37">
        <v>21</v>
      </c>
      <c r="T26" s="36">
        <f t="shared" si="8"/>
        <v>0.0002891606080634501</v>
      </c>
      <c r="U26" s="37">
        <v>1623</v>
      </c>
      <c r="V26" s="36">
        <f t="shared" si="9"/>
        <v>0.022347984137475217</v>
      </c>
      <c r="W26" s="38">
        <f t="shared" si="10"/>
        <v>72624</v>
      </c>
      <c r="X26" s="96">
        <v>0</v>
      </c>
      <c r="Y26" s="11"/>
    </row>
    <row r="27" spans="1:25" ht="12.75">
      <c r="A27" s="28">
        <v>20</v>
      </c>
      <c r="B27" s="29" t="s">
        <v>28</v>
      </c>
      <c r="C27" s="35">
        <v>16020</v>
      </c>
      <c r="D27" s="36">
        <f t="shared" si="0"/>
        <v>0.22506322000561957</v>
      </c>
      <c r="E27" s="115">
        <v>34120</v>
      </c>
      <c r="F27" s="116">
        <f t="shared" si="1"/>
        <v>0.4793481314976117</v>
      </c>
      <c r="G27" s="37">
        <v>16360</v>
      </c>
      <c r="H27" s="36">
        <f t="shared" si="2"/>
        <v>0.22983984265243046</v>
      </c>
      <c r="I27" s="37">
        <v>1036</v>
      </c>
      <c r="J27" s="36">
        <f t="shared" si="3"/>
        <v>0.014554650182635572</v>
      </c>
      <c r="K27" s="37">
        <v>782</v>
      </c>
      <c r="L27" s="36">
        <f t="shared" si="4"/>
        <v>0.010986232087665075</v>
      </c>
      <c r="M27" s="37">
        <v>333</v>
      </c>
      <c r="N27" s="36">
        <f t="shared" si="5"/>
        <v>0.004678280415847148</v>
      </c>
      <c r="O27" s="37">
        <v>508</v>
      </c>
      <c r="P27" s="36">
        <f t="shared" si="6"/>
        <v>0.007136836189940995</v>
      </c>
      <c r="Q27" s="37">
        <v>555</v>
      </c>
      <c r="R27" s="36">
        <f t="shared" si="7"/>
        <v>0.007797134026411913</v>
      </c>
      <c r="S27" s="37">
        <v>9</v>
      </c>
      <c r="T27" s="36">
        <f t="shared" si="8"/>
        <v>0.00012644001123911211</v>
      </c>
      <c r="U27" s="37">
        <v>1457</v>
      </c>
      <c r="V27" s="36">
        <f t="shared" si="9"/>
        <v>0.020469232930598484</v>
      </c>
      <c r="W27" s="38">
        <f t="shared" si="10"/>
        <v>71180</v>
      </c>
      <c r="X27" s="96">
        <v>0</v>
      </c>
      <c r="Y27" s="11"/>
    </row>
    <row r="28" spans="1:25" ht="15">
      <c r="A28" s="28">
        <v>21</v>
      </c>
      <c r="B28" s="29" t="s">
        <v>72</v>
      </c>
      <c r="C28" s="35">
        <f>32035-'Casillas anuladas TEEM'!E45</f>
        <v>31034</v>
      </c>
      <c r="D28" s="36">
        <f t="shared" si="0"/>
        <v>0.2962927602371564</v>
      </c>
      <c r="E28" s="115">
        <f>39626-'Casillas anuladas TEEM'!F45</f>
        <v>38439</v>
      </c>
      <c r="F28" s="116">
        <f t="shared" si="1"/>
        <v>0.3669909586503852</v>
      </c>
      <c r="G28" s="37">
        <f>27233-'Casillas anuladas TEEM'!G45</f>
        <v>26374</v>
      </c>
      <c r="H28" s="36">
        <f t="shared" si="2"/>
        <v>0.25180206413916234</v>
      </c>
      <c r="I28" s="37">
        <f>2233-'Casillas anuladas TEEM'!H45</f>
        <v>2164</v>
      </c>
      <c r="J28" s="36">
        <f t="shared" si="3"/>
        <v>0.02066048634250198</v>
      </c>
      <c r="K28" s="37">
        <f>483-'Casillas anuladas TEEM'!I45</f>
        <v>469</v>
      </c>
      <c r="L28" s="36">
        <f t="shared" si="4"/>
        <v>0.004477711688832453</v>
      </c>
      <c r="M28" s="37">
        <f>869-'Casillas anuladas TEEM'!J45</f>
        <v>839</v>
      </c>
      <c r="N28" s="36">
        <f t="shared" si="5"/>
        <v>0.008010234769574473</v>
      </c>
      <c r="O28" s="37">
        <f>479-'Casillas anuladas TEEM'!K45</f>
        <v>455</v>
      </c>
      <c r="P28" s="36">
        <f t="shared" si="6"/>
        <v>0.004344048653344918</v>
      </c>
      <c r="Q28" s="37">
        <f>1627-'Casillas anuladas TEEM'!L45</f>
        <v>1572</v>
      </c>
      <c r="R28" s="36">
        <f t="shared" si="7"/>
        <v>0.015008449413314747</v>
      </c>
      <c r="S28" s="37">
        <f>240-'Casillas anuladas TEEM'!M45</f>
        <v>240</v>
      </c>
      <c r="T28" s="36">
        <f t="shared" si="8"/>
        <v>0.002291366322643473</v>
      </c>
      <c r="U28" s="37">
        <f>3241-'Casillas anuladas TEEM'!N45</f>
        <v>3155</v>
      </c>
      <c r="V28" s="36">
        <f t="shared" si="9"/>
        <v>0.030121919783083987</v>
      </c>
      <c r="W28" s="38">
        <f t="shared" si="10"/>
        <v>104741</v>
      </c>
      <c r="X28" s="96">
        <f>'Casillas anuladas TEEM'!O45</f>
        <v>3325</v>
      </c>
      <c r="Y28" s="11"/>
    </row>
    <row r="29" spans="1:25" ht="15">
      <c r="A29" s="28">
        <v>22</v>
      </c>
      <c r="B29" s="29" t="s">
        <v>73</v>
      </c>
      <c r="C29" s="111">
        <f>31742-'Casillas anuladas TEEM'!E49</f>
        <v>31547</v>
      </c>
      <c r="D29" s="112">
        <f t="shared" si="0"/>
        <v>0.31646369600545715</v>
      </c>
      <c r="E29" s="37">
        <f>28605-'Casillas anuladas TEEM'!F49</f>
        <v>28444</v>
      </c>
      <c r="F29" s="36">
        <f t="shared" si="1"/>
        <v>0.28533595489838093</v>
      </c>
      <c r="G29" s="37">
        <f>31400-'Casillas anuladas TEEM'!G49</f>
        <v>31177</v>
      </c>
      <c r="H29" s="36">
        <f t="shared" si="2"/>
        <v>0.3127520414100275</v>
      </c>
      <c r="I29" s="37">
        <f>2279-'Casillas anuladas TEEM'!H49</f>
        <v>2266</v>
      </c>
      <c r="J29" s="36">
        <f t="shared" si="3"/>
        <v>0.02273137652227996</v>
      </c>
      <c r="K29" s="37">
        <f>788-'Casillas anuladas TEEM'!I49</f>
        <v>782</v>
      </c>
      <c r="L29" s="36">
        <f t="shared" si="4"/>
        <v>0.007844632144935096</v>
      </c>
      <c r="M29" s="37">
        <f>581-'Casillas anuladas TEEM'!J49</f>
        <v>576</v>
      </c>
      <c r="N29" s="36">
        <f t="shared" si="5"/>
        <v>0.005778143370182373</v>
      </c>
      <c r="O29" s="37">
        <f>569-'Casillas anuladas TEEM'!K49</f>
        <v>564</v>
      </c>
      <c r="P29" s="36">
        <f t="shared" si="6"/>
        <v>0.005657765383303573</v>
      </c>
      <c r="Q29" s="37">
        <f>1148-'Casillas anuladas TEEM'!L49</f>
        <v>1143</v>
      </c>
      <c r="R29" s="36">
        <f t="shared" si="7"/>
        <v>0.011466003250205645</v>
      </c>
      <c r="S29" s="37">
        <f>15-'Casillas anuladas TEEM'!M49</f>
        <v>15</v>
      </c>
      <c r="T29" s="36">
        <f t="shared" si="8"/>
        <v>0.0001504724835984993</v>
      </c>
      <c r="U29" s="37">
        <f>3192-'Casillas anuladas TEEM'!N49</f>
        <v>3172</v>
      </c>
      <c r="V29" s="36">
        <f t="shared" si="9"/>
        <v>0.031819914531629315</v>
      </c>
      <c r="W29" s="38">
        <f t="shared" si="10"/>
        <v>99686</v>
      </c>
      <c r="X29" s="96">
        <f>'Casillas anuladas TEEM'!O49</f>
        <v>633</v>
      </c>
      <c r="Y29" s="11"/>
    </row>
    <row r="30" spans="1:25" ht="12.75">
      <c r="A30" s="28">
        <v>23</v>
      </c>
      <c r="B30" s="29" t="s">
        <v>30</v>
      </c>
      <c r="C30" s="35">
        <v>12505</v>
      </c>
      <c r="D30" s="36">
        <f t="shared" si="0"/>
        <v>0.1486513795275965</v>
      </c>
      <c r="E30" s="115">
        <v>29027</v>
      </c>
      <c r="F30" s="116">
        <f t="shared" si="1"/>
        <v>0.3450542657774925</v>
      </c>
      <c r="G30" s="37">
        <v>26118</v>
      </c>
      <c r="H30" s="36">
        <f t="shared" si="2"/>
        <v>0.310473948860597</v>
      </c>
      <c r="I30" s="37">
        <v>7757</v>
      </c>
      <c r="J30" s="36">
        <f t="shared" si="3"/>
        <v>0.09221021599324798</v>
      </c>
      <c r="K30" s="37">
        <v>2355</v>
      </c>
      <c r="L30" s="36">
        <f t="shared" si="4"/>
        <v>0.027994722014193504</v>
      </c>
      <c r="M30" s="37">
        <v>407</v>
      </c>
      <c r="N30" s="36">
        <f t="shared" si="5"/>
        <v>0.00483815365595616</v>
      </c>
      <c r="O30" s="37">
        <v>1125</v>
      </c>
      <c r="P30" s="36">
        <f t="shared" si="6"/>
        <v>0.013373274847544667</v>
      </c>
      <c r="Q30" s="37">
        <v>2718</v>
      </c>
      <c r="R30" s="36">
        <f t="shared" si="7"/>
        <v>0.032309832031667915</v>
      </c>
      <c r="S30" s="37">
        <v>14</v>
      </c>
      <c r="T30" s="36">
        <f t="shared" si="8"/>
        <v>0.00016642297588055586</v>
      </c>
      <c r="U30" s="37">
        <v>2097</v>
      </c>
      <c r="V30" s="36">
        <f t="shared" si="9"/>
        <v>0.024927784315823258</v>
      </c>
      <c r="W30" s="38">
        <f t="shared" si="10"/>
        <v>84123</v>
      </c>
      <c r="X30" s="96">
        <v>0</v>
      </c>
      <c r="Y30" s="10"/>
    </row>
    <row r="31" spans="1:25" ht="12.75">
      <c r="A31" s="28">
        <v>24</v>
      </c>
      <c r="B31" s="29" t="s">
        <v>31</v>
      </c>
      <c r="C31" s="35">
        <v>12354</v>
      </c>
      <c r="D31" s="36">
        <f t="shared" si="0"/>
        <v>0.23418573351278602</v>
      </c>
      <c r="E31" s="37">
        <v>13947</v>
      </c>
      <c r="F31" s="36">
        <f t="shared" si="1"/>
        <v>0.2643830682615207</v>
      </c>
      <c r="G31" s="117">
        <v>23377</v>
      </c>
      <c r="H31" s="118">
        <f t="shared" si="2"/>
        <v>0.4431406744640115</v>
      </c>
      <c r="I31" s="37">
        <v>466</v>
      </c>
      <c r="J31" s="36">
        <f t="shared" si="3"/>
        <v>0.008833620836729665</v>
      </c>
      <c r="K31" s="37">
        <v>373</v>
      </c>
      <c r="L31" s="36">
        <f t="shared" si="4"/>
        <v>0.007070687922961727</v>
      </c>
      <c r="M31" s="37">
        <v>264</v>
      </c>
      <c r="N31" s="36">
        <f t="shared" si="5"/>
        <v>0.005004454722954145</v>
      </c>
      <c r="O31" s="37">
        <v>393</v>
      </c>
      <c r="P31" s="36">
        <f t="shared" si="6"/>
        <v>0.007449813280761284</v>
      </c>
      <c r="Q31" s="37">
        <v>388</v>
      </c>
      <c r="R31" s="36">
        <f t="shared" si="7"/>
        <v>0.007355031941311395</v>
      </c>
      <c r="S31" s="37">
        <v>22</v>
      </c>
      <c r="T31" s="36">
        <f t="shared" si="8"/>
        <v>0.0004170378935795121</v>
      </c>
      <c r="U31" s="37">
        <v>1169</v>
      </c>
      <c r="V31" s="36">
        <f t="shared" si="9"/>
        <v>0.02215987716338407</v>
      </c>
      <c r="W31" s="38">
        <f t="shared" si="10"/>
        <v>52753</v>
      </c>
      <c r="X31" s="96">
        <v>0</v>
      </c>
      <c r="Y31" s="11"/>
    </row>
    <row r="32" spans="1:25" ht="12.75">
      <c r="A32" s="28">
        <v>25</v>
      </c>
      <c r="B32" s="29" t="s">
        <v>31</v>
      </c>
      <c r="C32" s="35">
        <v>7840</v>
      </c>
      <c r="D32" s="36">
        <f t="shared" si="0"/>
        <v>0.1296039145672155</v>
      </c>
      <c r="E32" s="37">
        <v>18917</v>
      </c>
      <c r="F32" s="36">
        <f t="shared" si="1"/>
        <v>0.3127190372280632</v>
      </c>
      <c r="G32" s="117">
        <v>29238</v>
      </c>
      <c r="H32" s="118">
        <f t="shared" si="2"/>
        <v>0.4833366395556437</v>
      </c>
      <c r="I32" s="37">
        <v>930</v>
      </c>
      <c r="J32" s="36">
        <f t="shared" si="3"/>
        <v>0.0153739337433049</v>
      </c>
      <c r="K32" s="37">
        <v>1029</v>
      </c>
      <c r="L32" s="36">
        <f t="shared" si="4"/>
        <v>0.017010513786947033</v>
      </c>
      <c r="M32" s="37">
        <v>286</v>
      </c>
      <c r="N32" s="36">
        <f t="shared" si="5"/>
        <v>0.004727897903855055</v>
      </c>
      <c r="O32" s="37">
        <v>282</v>
      </c>
      <c r="P32" s="36">
        <f t="shared" si="6"/>
        <v>0.004661773457647293</v>
      </c>
      <c r="Q32" s="37">
        <v>270</v>
      </c>
      <c r="R32" s="36">
        <f t="shared" si="7"/>
        <v>0.0044634001190240035</v>
      </c>
      <c r="S32" s="37">
        <v>13</v>
      </c>
      <c r="T32" s="36">
        <f t="shared" si="8"/>
        <v>0.00021490445017522978</v>
      </c>
      <c r="U32" s="37">
        <v>1687</v>
      </c>
      <c r="V32" s="36">
        <f t="shared" si="9"/>
        <v>0.027887985188124048</v>
      </c>
      <c r="W32" s="38">
        <f t="shared" si="10"/>
        <v>60492</v>
      </c>
      <c r="X32" s="96">
        <v>0</v>
      </c>
      <c r="Y32" s="10"/>
    </row>
    <row r="33" spans="1:25" ht="12.75">
      <c r="A33" s="28">
        <v>26</v>
      </c>
      <c r="B33" s="29" t="s">
        <v>31</v>
      </c>
      <c r="C33" s="35">
        <v>9493</v>
      </c>
      <c r="D33" s="36">
        <f t="shared" si="0"/>
        <v>0.1741515318290222</v>
      </c>
      <c r="E33" s="37">
        <v>14199</v>
      </c>
      <c r="F33" s="36">
        <f t="shared" si="1"/>
        <v>0.26048431480462303</v>
      </c>
      <c r="G33" s="117">
        <v>26799</v>
      </c>
      <c r="H33" s="118">
        <f t="shared" si="2"/>
        <v>0.49163456246560266</v>
      </c>
      <c r="I33" s="37">
        <v>598</v>
      </c>
      <c r="J33" s="36">
        <f t="shared" si="3"/>
        <v>0.010970464135021098</v>
      </c>
      <c r="K33" s="37">
        <v>1049</v>
      </c>
      <c r="L33" s="36">
        <f t="shared" si="4"/>
        <v>0.0192441753806641</v>
      </c>
      <c r="M33" s="37">
        <v>233</v>
      </c>
      <c r="N33" s="36">
        <f t="shared" si="5"/>
        <v>0.0042744450559530365</v>
      </c>
      <c r="O33" s="37">
        <v>335</v>
      </c>
      <c r="P33" s="36">
        <f t="shared" si="6"/>
        <v>0.006145661346541919</v>
      </c>
      <c r="Q33" s="37">
        <v>276</v>
      </c>
      <c r="R33" s="36">
        <f t="shared" si="7"/>
        <v>0.005063291139240506</v>
      </c>
      <c r="S33" s="37">
        <v>24</v>
      </c>
      <c r="T33" s="36">
        <f t="shared" si="8"/>
        <v>0.0004402861860209136</v>
      </c>
      <c r="U33" s="37">
        <v>1504</v>
      </c>
      <c r="V33" s="36">
        <f t="shared" si="9"/>
        <v>0.027591267657310584</v>
      </c>
      <c r="W33" s="38">
        <f t="shared" si="10"/>
        <v>54510</v>
      </c>
      <c r="X33" s="96">
        <v>0</v>
      </c>
      <c r="Y33" s="11"/>
    </row>
    <row r="34" spans="1:25" ht="12.75">
      <c r="A34" s="28">
        <v>27</v>
      </c>
      <c r="B34" s="29" t="s">
        <v>32</v>
      </c>
      <c r="C34" s="35">
        <v>20340</v>
      </c>
      <c r="D34" s="36">
        <f t="shared" si="0"/>
        <v>0.14735393197377478</v>
      </c>
      <c r="E34" s="37">
        <v>47693</v>
      </c>
      <c r="F34" s="36">
        <f t="shared" si="1"/>
        <v>0.34551381895895966</v>
      </c>
      <c r="G34" s="117">
        <v>51731</v>
      </c>
      <c r="H34" s="118">
        <f t="shared" si="2"/>
        <v>0.37476726917086245</v>
      </c>
      <c r="I34" s="37">
        <v>5541</v>
      </c>
      <c r="J34" s="36">
        <f t="shared" si="3"/>
        <v>0.040141992972796754</v>
      </c>
      <c r="K34" s="37">
        <v>3817</v>
      </c>
      <c r="L34" s="36">
        <f t="shared" si="4"/>
        <v>0.027652406998225087</v>
      </c>
      <c r="M34" s="37">
        <v>745</v>
      </c>
      <c r="N34" s="36">
        <f t="shared" si="5"/>
        <v>0.00539718187416235</v>
      </c>
      <c r="O34" s="37">
        <v>2236</v>
      </c>
      <c r="P34" s="36">
        <f t="shared" si="6"/>
        <v>0.016198790161915458</v>
      </c>
      <c r="Q34" s="37">
        <v>885</v>
      </c>
      <c r="R34" s="36">
        <f t="shared" si="7"/>
        <v>0.0064114173941391675</v>
      </c>
      <c r="S34" s="37">
        <v>43</v>
      </c>
      <c r="T34" s="36">
        <f t="shared" si="8"/>
        <v>0.0003115151954214511</v>
      </c>
      <c r="U34" s="37">
        <v>5004</v>
      </c>
      <c r="V34" s="36">
        <f t="shared" si="9"/>
        <v>0.03625167529974282</v>
      </c>
      <c r="W34" s="38">
        <f t="shared" si="10"/>
        <v>138035</v>
      </c>
      <c r="X34" s="96">
        <v>0</v>
      </c>
      <c r="Y34" s="10"/>
    </row>
    <row r="35" spans="1:25" ht="12.75">
      <c r="A35" s="28">
        <v>28</v>
      </c>
      <c r="B35" s="29" t="s">
        <v>33</v>
      </c>
      <c r="C35" s="35">
        <v>10156</v>
      </c>
      <c r="D35" s="36">
        <f t="shared" si="0"/>
        <v>0.17694612865008014</v>
      </c>
      <c r="E35" s="37">
        <v>17120</v>
      </c>
      <c r="F35" s="36">
        <f t="shared" si="1"/>
        <v>0.2982786256882013</v>
      </c>
      <c r="G35" s="117">
        <v>17753</v>
      </c>
      <c r="H35" s="118">
        <f t="shared" si="2"/>
        <v>0.30930726879921944</v>
      </c>
      <c r="I35" s="37">
        <v>2929</v>
      </c>
      <c r="J35" s="36">
        <f t="shared" si="3"/>
        <v>0.05103143076172555</v>
      </c>
      <c r="K35" s="37">
        <v>2729</v>
      </c>
      <c r="L35" s="36">
        <f t="shared" si="4"/>
        <v>0.0475468673775176</v>
      </c>
      <c r="M35" s="37">
        <v>216</v>
      </c>
      <c r="N35" s="36">
        <f t="shared" si="5"/>
        <v>0.0037633284549445953</v>
      </c>
      <c r="O35" s="37">
        <v>2361</v>
      </c>
      <c r="P35" s="36">
        <f t="shared" si="6"/>
        <v>0.04113527075057495</v>
      </c>
      <c r="Q35" s="37">
        <v>1929</v>
      </c>
      <c r="R35" s="36">
        <f t="shared" si="7"/>
        <v>0.03360861384068576</v>
      </c>
      <c r="S35" s="37">
        <v>41</v>
      </c>
      <c r="T35" s="36">
        <f t="shared" si="8"/>
        <v>0.0007143354937626316</v>
      </c>
      <c r="U35" s="37">
        <v>2162</v>
      </c>
      <c r="V35" s="36">
        <f t="shared" si="9"/>
        <v>0.03766813018328803</v>
      </c>
      <c r="W35" s="38">
        <f t="shared" si="10"/>
        <v>57396</v>
      </c>
      <c r="X35" s="96">
        <v>0</v>
      </c>
      <c r="Y35" s="11"/>
    </row>
    <row r="36" spans="1:25" ht="15">
      <c r="A36" s="28">
        <v>29</v>
      </c>
      <c r="B36" s="29" t="s">
        <v>74</v>
      </c>
      <c r="C36" s="111">
        <f>44173-'Casillas anuladas TEEM'!E64</f>
        <v>43716</v>
      </c>
      <c r="D36" s="112">
        <f t="shared" si="0"/>
        <v>0.420495753296846</v>
      </c>
      <c r="E36" s="37">
        <f>32535-'Casillas anuladas TEEM'!F64</f>
        <v>32065</v>
      </c>
      <c r="F36" s="36">
        <f t="shared" si="1"/>
        <v>0.3084270365418466</v>
      </c>
      <c r="G36" s="37">
        <f>19395-'Casillas anuladas TEEM'!G64</f>
        <v>19107</v>
      </c>
      <c r="H36" s="36">
        <f t="shared" si="2"/>
        <v>0.18378653944191684</v>
      </c>
      <c r="I36" s="37">
        <f>1120-'Casillas anuladas TEEM'!H64</f>
        <v>1104</v>
      </c>
      <c r="J36" s="36">
        <f t="shared" si="3"/>
        <v>0.010619162586689495</v>
      </c>
      <c r="K36" s="37">
        <f>1254-'Casillas anuladas TEEM'!I64</f>
        <v>1229</v>
      </c>
      <c r="L36" s="36">
        <f t="shared" si="4"/>
        <v>0.011821513423044737</v>
      </c>
      <c r="M36" s="37">
        <f>439-'Casillas anuladas TEEM'!J64</f>
        <v>435</v>
      </c>
      <c r="N36" s="36">
        <f t="shared" si="5"/>
        <v>0.004184180910516241</v>
      </c>
      <c r="O36" s="37">
        <f>1964-'Casillas anuladas TEEM'!K64</f>
        <v>1930</v>
      </c>
      <c r="P36" s="36">
        <f t="shared" si="6"/>
        <v>0.018564296913324934</v>
      </c>
      <c r="Q36" s="37">
        <f>1658-'Casillas anuladas TEEM'!L64</f>
        <v>1627</v>
      </c>
      <c r="R36" s="36">
        <f t="shared" si="7"/>
        <v>0.015649798485999827</v>
      </c>
      <c r="S36" s="37">
        <f>22-'Casillas anuladas TEEM'!M64</f>
        <v>22</v>
      </c>
      <c r="T36" s="36">
        <f t="shared" si="8"/>
        <v>0.00021161374719852255</v>
      </c>
      <c r="U36" s="37">
        <f>2755-'Casillas anuladas TEEM'!N64</f>
        <v>2728</v>
      </c>
      <c r="V36" s="36">
        <f t="shared" si="9"/>
        <v>0.026240104652616798</v>
      </c>
      <c r="W36" s="38">
        <f t="shared" si="10"/>
        <v>103963</v>
      </c>
      <c r="X36" s="96">
        <f>'Casillas anuladas TEEM'!O64</f>
        <v>1352</v>
      </c>
      <c r="Y36" s="10"/>
    </row>
    <row r="37" spans="1:25" ht="12.75">
      <c r="A37" s="28">
        <v>30</v>
      </c>
      <c r="B37" s="29" t="s">
        <v>34</v>
      </c>
      <c r="C37" s="111">
        <v>50839</v>
      </c>
      <c r="D37" s="112">
        <f t="shared" si="0"/>
        <v>0.4990233320572848</v>
      </c>
      <c r="E37" s="37">
        <v>27165</v>
      </c>
      <c r="F37" s="36">
        <f t="shared" si="1"/>
        <v>0.26664507199858656</v>
      </c>
      <c r="G37" s="37">
        <v>14477</v>
      </c>
      <c r="H37" s="36">
        <f t="shared" si="2"/>
        <v>0.14210273172551213</v>
      </c>
      <c r="I37" s="37">
        <v>1020</v>
      </c>
      <c r="J37" s="36">
        <f t="shared" si="3"/>
        <v>0.01001207338260844</v>
      </c>
      <c r="K37" s="37">
        <v>1732</v>
      </c>
      <c r="L37" s="36">
        <f t="shared" si="4"/>
        <v>0.01700089323399786</v>
      </c>
      <c r="M37" s="37">
        <v>434</v>
      </c>
      <c r="N37" s="36">
        <f t="shared" si="5"/>
        <v>0.004260039066717709</v>
      </c>
      <c r="O37" s="37">
        <v>1532</v>
      </c>
      <c r="P37" s="36">
        <f t="shared" si="6"/>
        <v>0.015037741590349147</v>
      </c>
      <c r="Q37" s="37">
        <v>2201</v>
      </c>
      <c r="R37" s="36">
        <f t="shared" si="7"/>
        <v>0.021604483838354095</v>
      </c>
      <c r="S37" s="37">
        <v>233</v>
      </c>
      <c r="T37" s="36">
        <f t="shared" si="8"/>
        <v>0.0022870716648507516</v>
      </c>
      <c r="U37" s="37">
        <v>2244</v>
      </c>
      <c r="V37" s="36">
        <f t="shared" si="9"/>
        <v>0.022026561441738566</v>
      </c>
      <c r="W37" s="38">
        <f t="shared" si="10"/>
        <v>101877</v>
      </c>
      <c r="X37" s="96">
        <v>0</v>
      </c>
      <c r="Y37" s="10"/>
    </row>
    <row r="38" spans="1:25" ht="12.75">
      <c r="A38" s="28">
        <v>31</v>
      </c>
      <c r="B38" s="29" t="s">
        <v>35</v>
      </c>
      <c r="C38" s="35">
        <v>12279</v>
      </c>
      <c r="D38" s="36">
        <f t="shared" si="0"/>
        <v>0.09571433025692193</v>
      </c>
      <c r="E38" s="115">
        <v>53710</v>
      </c>
      <c r="F38" s="116">
        <f t="shared" si="1"/>
        <v>0.4186673734098279</v>
      </c>
      <c r="G38" s="37">
        <v>28504</v>
      </c>
      <c r="H38" s="36">
        <f t="shared" si="2"/>
        <v>0.22218757794961336</v>
      </c>
      <c r="I38" s="37">
        <v>9842</v>
      </c>
      <c r="J38" s="36">
        <f t="shared" si="3"/>
        <v>0.07671800947867298</v>
      </c>
      <c r="K38" s="37">
        <v>16044</v>
      </c>
      <c r="L38" s="36">
        <f t="shared" si="4"/>
        <v>0.12506235969069593</v>
      </c>
      <c r="M38" s="37">
        <v>1406</v>
      </c>
      <c r="N38" s="36">
        <f t="shared" si="5"/>
        <v>0.010959715639810427</v>
      </c>
      <c r="O38" s="37">
        <v>884</v>
      </c>
      <c r="P38" s="36">
        <f t="shared" si="6"/>
        <v>0.006890745821900723</v>
      </c>
      <c r="Q38" s="37">
        <v>1395</v>
      </c>
      <c r="R38" s="36">
        <f t="shared" si="7"/>
        <v>0.010873971065103518</v>
      </c>
      <c r="S38" s="37">
        <v>51</v>
      </c>
      <c r="T38" s="36">
        <f t="shared" si="8"/>
        <v>0.00039754302818658017</v>
      </c>
      <c r="U38" s="37">
        <v>4173</v>
      </c>
      <c r="V38" s="36">
        <f t="shared" si="9"/>
        <v>0.03252837365926665</v>
      </c>
      <c r="W38" s="38">
        <f t="shared" si="10"/>
        <v>128288</v>
      </c>
      <c r="X38" s="96">
        <v>0</v>
      </c>
      <c r="Y38" s="11"/>
    </row>
    <row r="39" spans="1:25" ht="12.75">
      <c r="A39" s="28">
        <v>32</v>
      </c>
      <c r="B39" s="29" t="s">
        <v>31</v>
      </c>
      <c r="C39" s="35">
        <v>9182</v>
      </c>
      <c r="D39" s="36">
        <f t="shared" si="0"/>
        <v>0.13958225654434345</v>
      </c>
      <c r="E39" s="37">
        <v>17534</v>
      </c>
      <c r="F39" s="36">
        <f t="shared" si="1"/>
        <v>0.2665470797482594</v>
      </c>
      <c r="G39" s="117">
        <v>34173</v>
      </c>
      <c r="H39" s="118">
        <f t="shared" si="2"/>
        <v>0.5194886139065398</v>
      </c>
      <c r="I39" s="37">
        <v>966</v>
      </c>
      <c r="J39" s="36">
        <f t="shared" si="3"/>
        <v>0.014684868201027637</v>
      </c>
      <c r="K39" s="37">
        <v>1061</v>
      </c>
      <c r="L39" s="36">
        <f t="shared" si="4"/>
        <v>0.016129032258064516</v>
      </c>
      <c r="M39" s="37">
        <v>299</v>
      </c>
      <c r="N39" s="36">
        <f t="shared" si="5"/>
        <v>0.004545316347937126</v>
      </c>
      <c r="O39" s="37">
        <v>376</v>
      </c>
      <c r="P39" s="36">
        <f t="shared" si="6"/>
        <v>0.005715849320482807</v>
      </c>
      <c r="Q39" s="37">
        <v>377</v>
      </c>
      <c r="R39" s="36">
        <f t="shared" si="7"/>
        <v>0.005731051047398985</v>
      </c>
      <c r="S39" s="37">
        <v>18</v>
      </c>
      <c r="T39" s="36">
        <f t="shared" si="8"/>
        <v>0.0002736310844911982</v>
      </c>
      <c r="U39" s="37">
        <v>1796</v>
      </c>
      <c r="V39" s="36">
        <f t="shared" si="9"/>
        <v>0.02730230154145511</v>
      </c>
      <c r="W39" s="38">
        <f t="shared" si="10"/>
        <v>65782</v>
      </c>
      <c r="X39" s="96">
        <v>0</v>
      </c>
      <c r="Y39" s="10"/>
    </row>
    <row r="40" spans="1:25" ht="15">
      <c r="A40" s="28">
        <v>33</v>
      </c>
      <c r="B40" s="29" t="s">
        <v>69</v>
      </c>
      <c r="C40" s="35">
        <f>38424-'Casillas anuladas TEEM'!E72</f>
        <v>38020</v>
      </c>
      <c r="D40" s="36">
        <f t="shared" si="0"/>
        <v>0.32863687440573947</v>
      </c>
      <c r="E40" s="115">
        <f>45831-'Casillas anuladas TEEM'!F72</f>
        <v>45487</v>
      </c>
      <c r="F40" s="116">
        <f t="shared" si="1"/>
        <v>0.3931800501339787</v>
      </c>
      <c r="G40" s="37">
        <f>24114-'Casillas anuladas TEEM'!G72</f>
        <v>23949</v>
      </c>
      <c r="H40" s="36">
        <f t="shared" si="2"/>
        <v>0.20701011323364163</v>
      </c>
      <c r="I40" s="37">
        <f>1431-'Casillas anuladas TEEM'!H72</f>
        <v>1420</v>
      </c>
      <c r="J40" s="36">
        <f t="shared" si="3"/>
        <v>0.012274181000950816</v>
      </c>
      <c r="K40" s="37">
        <f>1409-'Casillas anuladas TEEM'!I72</f>
        <v>1380</v>
      </c>
      <c r="L40" s="36">
        <f t="shared" si="4"/>
        <v>0.011928429423459244</v>
      </c>
      <c r="M40" s="37">
        <f>743-'Casillas anuladas TEEM'!J72</f>
        <v>737</v>
      </c>
      <c r="N40" s="36">
        <f t="shared" si="5"/>
        <v>0.00637047281528222</v>
      </c>
      <c r="O40" s="37">
        <f>759-'Casillas anuladas TEEM'!K72</f>
        <v>753</v>
      </c>
      <c r="P40" s="36">
        <f t="shared" si="6"/>
        <v>0.006508773446278849</v>
      </c>
      <c r="Q40" s="37">
        <f>1287-'Casillas anuladas TEEM'!L72</f>
        <v>1275</v>
      </c>
      <c r="R40" s="36">
        <f t="shared" si="7"/>
        <v>0.011020831532543867</v>
      </c>
      <c r="S40" s="37">
        <f>26-'Casillas anuladas TEEM'!M72</f>
        <v>26</v>
      </c>
      <c r="T40" s="36">
        <f t="shared" si="8"/>
        <v>0.000224738525369522</v>
      </c>
      <c r="U40" s="37">
        <f>2657-'Casillas anuladas TEEM'!N72</f>
        <v>2643</v>
      </c>
      <c r="V40" s="36">
        <f t="shared" si="9"/>
        <v>0.02284553548275564</v>
      </c>
      <c r="W40" s="38">
        <f t="shared" si="10"/>
        <v>115690</v>
      </c>
      <c r="X40" s="96">
        <f>'Casillas anuladas TEEM'!O72</f>
        <v>991</v>
      </c>
      <c r="Y40" s="10"/>
    </row>
    <row r="41" spans="1:25" ht="12.75">
      <c r="A41" s="28">
        <v>34</v>
      </c>
      <c r="B41" s="29" t="s">
        <v>36</v>
      </c>
      <c r="C41" s="35">
        <v>8975</v>
      </c>
      <c r="D41" s="36">
        <f t="shared" si="0"/>
        <v>0.22784392373892515</v>
      </c>
      <c r="E41" s="115">
        <v>16258</v>
      </c>
      <c r="F41" s="116">
        <f t="shared" si="1"/>
        <v>0.412733873219771</v>
      </c>
      <c r="G41" s="37">
        <v>7840</v>
      </c>
      <c r="H41" s="36">
        <f t="shared" si="2"/>
        <v>0.19903023533294406</v>
      </c>
      <c r="I41" s="37">
        <v>3449</v>
      </c>
      <c r="J41" s="36">
        <f t="shared" si="3"/>
        <v>0.08755807164073012</v>
      </c>
      <c r="K41" s="37">
        <v>83</v>
      </c>
      <c r="L41" s="36">
        <f t="shared" si="4"/>
        <v>0.0021070802975298925</v>
      </c>
      <c r="M41" s="37">
        <v>110</v>
      </c>
      <c r="N41" s="36">
        <f t="shared" si="5"/>
        <v>0.0027925160569673277</v>
      </c>
      <c r="O41" s="37">
        <v>134</v>
      </c>
      <c r="P41" s="36">
        <f t="shared" si="6"/>
        <v>0.0034017922875783807</v>
      </c>
      <c r="Q41" s="37">
        <v>1092</v>
      </c>
      <c r="R41" s="36">
        <f t="shared" si="7"/>
        <v>0.027722068492802926</v>
      </c>
      <c r="S41" s="37">
        <v>6</v>
      </c>
      <c r="T41" s="36">
        <f t="shared" si="8"/>
        <v>0.00015231905765276333</v>
      </c>
      <c r="U41" s="37">
        <v>1444</v>
      </c>
      <c r="V41" s="36">
        <f t="shared" si="9"/>
        <v>0.03665811987509837</v>
      </c>
      <c r="W41" s="38">
        <f t="shared" si="10"/>
        <v>39391</v>
      </c>
      <c r="X41" s="96">
        <v>0</v>
      </c>
      <c r="Y41" s="11"/>
    </row>
    <row r="42" spans="1:25" ht="12.75">
      <c r="A42" s="28">
        <v>35</v>
      </c>
      <c r="B42" s="29" t="s">
        <v>37</v>
      </c>
      <c r="C42" s="111">
        <v>22280</v>
      </c>
      <c r="D42" s="112">
        <f t="shared" si="0"/>
        <v>0.31836303102181956</v>
      </c>
      <c r="E42" s="37">
        <v>21448</v>
      </c>
      <c r="F42" s="36">
        <f t="shared" si="1"/>
        <v>0.3064744295043082</v>
      </c>
      <c r="G42" s="37">
        <v>4818</v>
      </c>
      <c r="H42" s="36">
        <f t="shared" si="2"/>
        <v>0.06884529099924268</v>
      </c>
      <c r="I42" s="37">
        <v>13277</v>
      </c>
      <c r="J42" s="36">
        <f t="shared" si="3"/>
        <v>0.18971750282211394</v>
      </c>
      <c r="K42" s="37">
        <v>1463</v>
      </c>
      <c r="L42" s="36">
        <f t="shared" si="4"/>
        <v>0.02090507694725862</v>
      </c>
      <c r="M42" s="37">
        <v>4173</v>
      </c>
      <c r="N42" s="36">
        <f t="shared" si="5"/>
        <v>0.059628766986268095</v>
      </c>
      <c r="O42" s="37">
        <v>399</v>
      </c>
      <c r="P42" s="36">
        <f t="shared" si="6"/>
        <v>0.0057013846219796235</v>
      </c>
      <c r="Q42" s="37">
        <v>522</v>
      </c>
      <c r="R42" s="36">
        <f t="shared" si="7"/>
        <v>0.007458954317477101</v>
      </c>
      <c r="S42" s="37">
        <v>7</v>
      </c>
      <c r="T42" s="36">
        <f t="shared" si="8"/>
        <v>0.00010002429161367761</v>
      </c>
      <c r="U42" s="37">
        <v>1596</v>
      </c>
      <c r="V42" s="36">
        <f t="shared" si="9"/>
        <v>0.022805538487918494</v>
      </c>
      <c r="W42" s="38">
        <f t="shared" si="10"/>
        <v>69983</v>
      </c>
      <c r="X42" s="96">
        <v>0</v>
      </c>
      <c r="Y42" s="11"/>
    </row>
    <row r="43" spans="1:25" ht="12.75">
      <c r="A43" s="28">
        <v>36</v>
      </c>
      <c r="B43" s="29" t="s">
        <v>38</v>
      </c>
      <c r="C43" s="111">
        <v>21742</v>
      </c>
      <c r="D43" s="112">
        <f t="shared" si="0"/>
        <v>0.36128882168198206</v>
      </c>
      <c r="E43" s="37">
        <v>20719</v>
      </c>
      <c r="F43" s="36">
        <f t="shared" si="1"/>
        <v>0.34428953621695274</v>
      </c>
      <c r="G43" s="37">
        <v>4163</v>
      </c>
      <c r="H43" s="36">
        <f t="shared" si="2"/>
        <v>0.06917695541634125</v>
      </c>
      <c r="I43" s="37">
        <v>4582</v>
      </c>
      <c r="J43" s="36">
        <f t="shared" si="3"/>
        <v>0.07613951710729656</v>
      </c>
      <c r="K43" s="37">
        <v>5304</v>
      </c>
      <c r="L43" s="36">
        <f t="shared" si="4"/>
        <v>0.08813705777763008</v>
      </c>
      <c r="M43" s="37">
        <v>121</v>
      </c>
      <c r="N43" s="36">
        <f t="shared" si="5"/>
        <v>0.002010668173283039</v>
      </c>
      <c r="O43" s="37">
        <v>1636</v>
      </c>
      <c r="P43" s="36">
        <f t="shared" si="6"/>
        <v>0.02718556307017398</v>
      </c>
      <c r="Q43" s="37">
        <v>333</v>
      </c>
      <c r="R43" s="36">
        <f t="shared" si="7"/>
        <v>0.005533491749613653</v>
      </c>
      <c r="S43" s="37">
        <v>0</v>
      </c>
      <c r="T43" s="36">
        <f t="shared" si="8"/>
        <v>0</v>
      </c>
      <c r="U43" s="37">
        <v>1579</v>
      </c>
      <c r="V43" s="36">
        <f t="shared" si="9"/>
        <v>0.0262383888067266</v>
      </c>
      <c r="W43" s="38">
        <f t="shared" si="10"/>
        <v>60179</v>
      </c>
      <c r="X43" s="96">
        <v>0</v>
      </c>
      <c r="Y43" s="10"/>
    </row>
    <row r="44" spans="1:25" ht="12.75">
      <c r="A44" s="28">
        <v>37</v>
      </c>
      <c r="B44" s="29" t="s">
        <v>48</v>
      </c>
      <c r="C44" s="111">
        <v>45107</v>
      </c>
      <c r="D44" s="112">
        <f t="shared" si="0"/>
        <v>0.4812491331391565</v>
      </c>
      <c r="E44" s="37">
        <v>22726</v>
      </c>
      <c r="F44" s="36">
        <f t="shared" si="1"/>
        <v>0.24246497882192278</v>
      </c>
      <c r="G44" s="37">
        <v>19568</v>
      </c>
      <c r="H44" s="36">
        <f t="shared" si="2"/>
        <v>0.2087720982833488</v>
      </c>
      <c r="I44" s="37">
        <v>757</v>
      </c>
      <c r="J44" s="36">
        <f t="shared" si="3"/>
        <v>0.00807647579724525</v>
      </c>
      <c r="K44" s="37">
        <v>2143</v>
      </c>
      <c r="L44" s="36">
        <f t="shared" si="4"/>
        <v>0.022863788155213435</v>
      </c>
      <c r="M44" s="37">
        <v>305</v>
      </c>
      <c r="N44" s="36">
        <f t="shared" si="5"/>
        <v>0.0032540622432758273</v>
      </c>
      <c r="O44" s="37">
        <v>354</v>
      </c>
      <c r="P44" s="36">
        <f t="shared" si="6"/>
        <v>0.0037768460135070257</v>
      </c>
      <c r="Q44" s="37">
        <v>258</v>
      </c>
      <c r="R44" s="36">
        <f t="shared" si="7"/>
        <v>0.00275261658611529</v>
      </c>
      <c r="S44" s="37">
        <v>29</v>
      </c>
      <c r="T44" s="36">
        <f t="shared" si="8"/>
        <v>0.00030940263952458684</v>
      </c>
      <c r="U44" s="37">
        <v>2482</v>
      </c>
      <c r="V44" s="36">
        <f t="shared" si="9"/>
        <v>0.026480598320690503</v>
      </c>
      <c r="W44" s="38">
        <f t="shared" si="10"/>
        <v>93729</v>
      </c>
      <c r="X44" s="96">
        <v>0</v>
      </c>
      <c r="Y44" s="11"/>
    </row>
    <row r="45" spans="1:25" ht="15">
      <c r="A45" s="28">
        <v>38</v>
      </c>
      <c r="B45" s="29" t="s">
        <v>68</v>
      </c>
      <c r="C45" s="35">
        <f>46098-'Casillas anuladas TEEM'!E80</f>
        <v>45877</v>
      </c>
      <c r="D45" s="36">
        <f t="shared" si="0"/>
        <v>0.2709037012542221</v>
      </c>
      <c r="E45" s="115">
        <f>57130-'Casillas anuladas TEEM'!F80</f>
        <v>56822</v>
      </c>
      <c r="F45" s="116">
        <f t="shared" si="1"/>
        <v>0.3355339301320358</v>
      </c>
      <c r="G45" s="37">
        <f>48923-'Casillas anuladas TEEM'!G80</f>
        <v>48738</v>
      </c>
      <c r="H45" s="36">
        <f t="shared" si="2"/>
        <v>0.2877979072678744</v>
      </c>
      <c r="I45" s="37">
        <f>7863-'Casillas anuladas TEEM'!H80</f>
        <v>7837</v>
      </c>
      <c r="J45" s="36">
        <f t="shared" si="3"/>
        <v>0.046277487776649265</v>
      </c>
      <c r="K45" s="37">
        <f>1838-'Casillas anuladas TEEM'!I80</f>
        <v>1826</v>
      </c>
      <c r="L45" s="36">
        <f t="shared" si="4"/>
        <v>0.01078253064695184</v>
      </c>
      <c r="M45" s="37">
        <f>2428-'Casillas anuladas TEEM'!J80</f>
        <v>2415</v>
      </c>
      <c r="N45" s="36">
        <f t="shared" si="5"/>
        <v>0.014260575855634552</v>
      </c>
      <c r="O45" s="37">
        <f>943-'Casillas anuladas TEEM'!K80</f>
        <v>937</v>
      </c>
      <c r="P45" s="36">
        <f t="shared" si="6"/>
        <v>0.00553298533197912</v>
      </c>
      <c r="Q45" s="37">
        <f>1097-'Casillas anuladas TEEM'!L80</f>
        <v>1089</v>
      </c>
      <c r="R45" s="36">
        <f t="shared" si="7"/>
        <v>0.006430545385832723</v>
      </c>
      <c r="S45" s="37">
        <f>26-'Casillas anuladas TEEM'!M80</f>
        <v>26</v>
      </c>
      <c r="T45" s="36">
        <f t="shared" si="8"/>
        <v>0.00015353000921180054</v>
      </c>
      <c r="U45" s="37">
        <f>4104-'Casillas anuladas TEEM'!N80</f>
        <v>3781</v>
      </c>
      <c r="V45" s="36">
        <f t="shared" si="9"/>
        <v>0.02232680633960838</v>
      </c>
      <c r="W45" s="38">
        <f t="shared" si="10"/>
        <v>169348</v>
      </c>
      <c r="X45" s="96">
        <f>'Casillas anuladas TEEM'!O80</f>
        <v>1102</v>
      </c>
      <c r="Y45" s="12"/>
    </row>
    <row r="46" spans="1:25" ht="12.75">
      <c r="A46" s="28">
        <v>39</v>
      </c>
      <c r="B46" s="29" t="s">
        <v>40</v>
      </c>
      <c r="C46" s="35">
        <v>17013</v>
      </c>
      <c r="D46" s="36">
        <f t="shared" si="0"/>
        <v>0.24328266434056428</v>
      </c>
      <c r="E46" s="115">
        <v>24701</v>
      </c>
      <c r="F46" s="116">
        <f t="shared" si="1"/>
        <v>0.353219602179291</v>
      </c>
      <c r="G46" s="37">
        <v>18578</v>
      </c>
      <c r="H46" s="36">
        <f t="shared" si="2"/>
        <v>0.26566186669717295</v>
      </c>
      <c r="I46" s="37">
        <v>1896</v>
      </c>
      <c r="J46" s="36">
        <f t="shared" si="3"/>
        <v>0.02711243940455592</v>
      </c>
      <c r="K46" s="37">
        <v>1799</v>
      </c>
      <c r="L46" s="36">
        <f t="shared" si="4"/>
        <v>0.02572535785274056</v>
      </c>
      <c r="M46" s="37">
        <v>1551</v>
      </c>
      <c r="N46" s="36">
        <f t="shared" si="5"/>
        <v>0.022179005019233245</v>
      </c>
      <c r="O46" s="37">
        <v>179</v>
      </c>
      <c r="P46" s="36">
        <f t="shared" si="6"/>
        <v>0.002559665956442779</v>
      </c>
      <c r="Q46" s="37">
        <v>2338</v>
      </c>
      <c r="R46" s="36">
        <f t="shared" si="7"/>
        <v>0.03343295534169396</v>
      </c>
      <c r="S46" s="37">
        <v>26</v>
      </c>
      <c r="T46" s="36">
        <f t="shared" si="8"/>
        <v>0.0003717950551257668</v>
      </c>
      <c r="U46" s="37">
        <v>1850</v>
      </c>
      <c r="V46" s="36">
        <f t="shared" si="9"/>
        <v>0.026454648153179564</v>
      </c>
      <c r="W46" s="38">
        <f t="shared" si="10"/>
        <v>69931</v>
      </c>
      <c r="X46" s="96">
        <v>0</v>
      </c>
      <c r="Y46" s="11"/>
    </row>
    <row r="47" spans="1:25" ht="12.75">
      <c r="A47" s="28">
        <v>40</v>
      </c>
      <c r="B47" s="29" t="s">
        <v>41</v>
      </c>
      <c r="C47" s="35">
        <v>11508</v>
      </c>
      <c r="D47" s="36">
        <f t="shared" si="0"/>
        <v>0.1310721078827777</v>
      </c>
      <c r="E47" s="37">
        <v>34286</v>
      </c>
      <c r="F47" s="36">
        <f t="shared" si="1"/>
        <v>0.39050558662399343</v>
      </c>
      <c r="G47" s="117">
        <v>34996</v>
      </c>
      <c r="H47" s="118">
        <f t="shared" si="2"/>
        <v>0.3985922390915614</v>
      </c>
      <c r="I47" s="37">
        <v>1717</v>
      </c>
      <c r="J47" s="36">
        <f t="shared" si="3"/>
        <v>0.019556031389879155</v>
      </c>
      <c r="K47" s="37">
        <v>845</v>
      </c>
      <c r="L47" s="36">
        <f t="shared" si="4"/>
        <v>0.009624255401542159</v>
      </c>
      <c r="M47" s="37">
        <v>312</v>
      </c>
      <c r="N47" s="36">
        <f t="shared" si="5"/>
        <v>0.003553571225184797</v>
      </c>
      <c r="O47" s="37">
        <v>688</v>
      </c>
      <c r="P47" s="36">
        <f t="shared" si="6"/>
        <v>0.00783608013758699</v>
      </c>
      <c r="Q47" s="37">
        <v>928</v>
      </c>
      <c r="R47" s="36">
        <f t="shared" si="7"/>
        <v>0.010569596464652217</v>
      </c>
      <c r="S47" s="37">
        <v>35</v>
      </c>
      <c r="T47" s="36">
        <f t="shared" si="8"/>
        <v>0.0003986377976970125</v>
      </c>
      <c r="U47" s="37">
        <v>2484</v>
      </c>
      <c r="V47" s="36">
        <f t="shared" si="9"/>
        <v>0.028291893985125115</v>
      </c>
      <c r="W47" s="38">
        <f t="shared" si="10"/>
        <v>87799</v>
      </c>
      <c r="X47" s="96">
        <v>0</v>
      </c>
      <c r="Y47" s="10"/>
    </row>
    <row r="48" spans="1:25" ht="12.75">
      <c r="A48" s="28">
        <v>41</v>
      </c>
      <c r="B48" s="29" t="s">
        <v>31</v>
      </c>
      <c r="C48" s="35">
        <v>6715</v>
      </c>
      <c r="D48" s="36">
        <f t="shared" si="0"/>
        <v>0.11419291204679954</v>
      </c>
      <c r="E48" s="37">
        <v>15276</v>
      </c>
      <c r="F48" s="36">
        <f t="shared" si="1"/>
        <v>0.25977824637779745</v>
      </c>
      <c r="G48" s="117">
        <v>32646</v>
      </c>
      <c r="H48" s="118">
        <f t="shared" si="2"/>
        <v>0.5551663152166519</v>
      </c>
      <c r="I48" s="37">
        <v>716</v>
      </c>
      <c r="J48" s="36">
        <f t="shared" si="3"/>
        <v>0.012176042446092102</v>
      </c>
      <c r="K48" s="37">
        <v>701</v>
      </c>
      <c r="L48" s="36">
        <f t="shared" si="4"/>
        <v>0.011920957757975649</v>
      </c>
      <c r="M48" s="37">
        <v>305</v>
      </c>
      <c r="N48" s="36">
        <f t="shared" si="5"/>
        <v>0.005186721991701245</v>
      </c>
      <c r="O48" s="37">
        <v>340</v>
      </c>
      <c r="P48" s="36">
        <f t="shared" si="6"/>
        <v>0.005781919597306306</v>
      </c>
      <c r="Q48" s="37">
        <v>588</v>
      </c>
      <c r="R48" s="36">
        <f t="shared" si="7"/>
        <v>0.009999319774165023</v>
      </c>
      <c r="S48" s="37">
        <v>14</v>
      </c>
      <c r="T48" s="36">
        <f t="shared" si="8"/>
        <v>0.00023807904224202434</v>
      </c>
      <c r="U48" s="37">
        <v>1503</v>
      </c>
      <c r="V48" s="36">
        <f t="shared" si="9"/>
        <v>0.025559485749268758</v>
      </c>
      <c r="W48" s="38">
        <f t="shared" si="10"/>
        <v>58804</v>
      </c>
      <c r="X48" s="96">
        <v>0</v>
      </c>
      <c r="Y48" s="10"/>
    </row>
    <row r="49" spans="1:25" ht="12.75">
      <c r="A49" s="28">
        <v>42</v>
      </c>
      <c r="B49" s="29" t="s">
        <v>29</v>
      </c>
      <c r="C49" s="35">
        <v>25552</v>
      </c>
      <c r="D49" s="36">
        <f t="shared" si="0"/>
        <v>0.2839300397804298</v>
      </c>
      <c r="E49" s="37">
        <v>27747</v>
      </c>
      <c r="F49" s="36">
        <f t="shared" si="1"/>
        <v>0.3083205547036469</v>
      </c>
      <c r="G49" s="117">
        <v>29683</v>
      </c>
      <c r="H49" s="118">
        <f t="shared" si="2"/>
        <v>0.32983309998444343</v>
      </c>
      <c r="I49" s="37">
        <v>1577</v>
      </c>
      <c r="J49" s="36">
        <f t="shared" si="3"/>
        <v>0.017523390448252105</v>
      </c>
      <c r="K49" s="37">
        <v>749</v>
      </c>
      <c r="L49" s="36">
        <f t="shared" si="4"/>
        <v>0.008322777074027158</v>
      </c>
      <c r="M49" s="37">
        <v>589</v>
      </c>
      <c r="N49" s="36">
        <f t="shared" si="5"/>
        <v>0.0065448807698291</v>
      </c>
      <c r="O49" s="37">
        <v>486</v>
      </c>
      <c r="P49" s="36">
        <f t="shared" si="6"/>
        <v>0.0054003600240016</v>
      </c>
      <c r="Q49" s="37">
        <v>1653</v>
      </c>
      <c r="R49" s="36">
        <f t="shared" si="7"/>
        <v>0.018367891192746184</v>
      </c>
      <c r="S49" s="37">
        <v>38</v>
      </c>
      <c r="T49" s="36">
        <f t="shared" si="8"/>
        <v>0.0004222503722470387</v>
      </c>
      <c r="U49" s="37">
        <v>1920</v>
      </c>
      <c r="V49" s="36">
        <f t="shared" si="9"/>
        <v>0.02133475565037669</v>
      </c>
      <c r="W49" s="38">
        <f t="shared" si="10"/>
        <v>89994</v>
      </c>
      <c r="X49" s="96">
        <v>0</v>
      </c>
      <c r="Y49" s="11"/>
    </row>
    <row r="50" spans="1:25" ht="12.75">
      <c r="A50" s="28">
        <v>43</v>
      </c>
      <c r="B50" s="29" t="s">
        <v>42</v>
      </c>
      <c r="C50" s="111">
        <v>56568</v>
      </c>
      <c r="D50" s="112">
        <f t="shared" si="0"/>
        <v>0.4547266881028939</v>
      </c>
      <c r="E50" s="37">
        <v>39569</v>
      </c>
      <c r="F50" s="36">
        <f t="shared" si="1"/>
        <v>0.31807877813504826</v>
      </c>
      <c r="G50" s="37">
        <v>15723</v>
      </c>
      <c r="H50" s="36">
        <f t="shared" si="2"/>
        <v>0.12639067524115755</v>
      </c>
      <c r="I50" s="37">
        <v>5707</v>
      </c>
      <c r="J50" s="36">
        <f t="shared" si="3"/>
        <v>0.04587620578778135</v>
      </c>
      <c r="K50" s="37">
        <v>1342</v>
      </c>
      <c r="L50" s="36">
        <f t="shared" si="4"/>
        <v>0.010787781350482315</v>
      </c>
      <c r="M50" s="37">
        <v>969</v>
      </c>
      <c r="N50" s="36">
        <f t="shared" si="5"/>
        <v>0.0077893890675241155</v>
      </c>
      <c r="O50" s="37">
        <v>1409</v>
      </c>
      <c r="P50" s="36">
        <f t="shared" si="6"/>
        <v>0.01132636655948553</v>
      </c>
      <c r="Q50" s="37">
        <v>673</v>
      </c>
      <c r="R50" s="36">
        <f t="shared" si="7"/>
        <v>0.005409967845659164</v>
      </c>
      <c r="S50" s="37">
        <v>35</v>
      </c>
      <c r="T50" s="36">
        <f t="shared" si="8"/>
        <v>0.0002813504823151125</v>
      </c>
      <c r="U50" s="37">
        <v>2405</v>
      </c>
      <c r="V50" s="36">
        <f t="shared" si="9"/>
        <v>0.01933279742765273</v>
      </c>
      <c r="W50" s="38">
        <f t="shared" si="10"/>
        <v>124400</v>
      </c>
      <c r="X50" s="96">
        <v>0</v>
      </c>
      <c r="Y50" s="11"/>
    </row>
    <row r="51" spans="1:25" ht="12.75">
      <c r="A51" s="28">
        <v>44</v>
      </c>
      <c r="B51" s="29" t="s">
        <v>43</v>
      </c>
      <c r="C51" s="111">
        <v>37298</v>
      </c>
      <c r="D51" s="112">
        <f t="shared" si="0"/>
        <v>0.4230428963546038</v>
      </c>
      <c r="E51" s="37">
        <v>31512</v>
      </c>
      <c r="F51" s="36">
        <f t="shared" si="1"/>
        <v>0.3574166912415217</v>
      </c>
      <c r="G51" s="37">
        <v>6964</v>
      </c>
      <c r="H51" s="36">
        <f t="shared" si="2"/>
        <v>0.07898736474377878</v>
      </c>
      <c r="I51" s="37">
        <v>3757</v>
      </c>
      <c r="J51" s="36">
        <f t="shared" si="3"/>
        <v>0.042612798584488354</v>
      </c>
      <c r="K51" s="37">
        <v>3740</v>
      </c>
      <c r="L51" s="36">
        <f t="shared" si="4"/>
        <v>0.04241998049134587</v>
      </c>
      <c r="M51" s="37">
        <v>1201</v>
      </c>
      <c r="N51" s="36">
        <f t="shared" si="5"/>
        <v>0.013622031168477645</v>
      </c>
      <c r="O51" s="37">
        <v>635</v>
      </c>
      <c r="P51" s="36">
        <f t="shared" si="6"/>
        <v>0.007202322890910328</v>
      </c>
      <c r="Q51" s="37">
        <v>783</v>
      </c>
      <c r="R51" s="36">
        <f t="shared" si="7"/>
        <v>0.008880974525327224</v>
      </c>
      <c r="S51" s="37">
        <v>11</v>
      </c>
      <c r="T51" s="36">
        <f t="shared" si="8"/>
        <v>0.00012476464850395843</v>
      </c>
      <c r="U51" s="37">
        <v>2265</v>
      </c>
      <c r="V51" s="36">
        <f t="shared" si="9"/>
        <v>0.02569017535104235</v>
      </c>
      <c r="W51" s="38">
        <f t="shared" si="10"/>
        <v>88166</v>
      </c>
      <c r="X51" s="96">
        <v>0</v>
      </c>
      <c r="Y51" s="11"/>
    </row>
    <row r="52" spans="1:25" ht="12.75">
      <c r="A52" s="30">
        <v>45</v>
      </c>
      <c r="B52" s="31" t="s">
        <v>44</v>
      </c>
      <c r="C52" s="39">
        <v>11711</v>
      </c>
      <c r="D52" s="40">
        <f t="shared" si="0"/>
        <v>0.17082883566239754</v>
      </c>
      <c r="E52" s="113">
        <v>26528</v>
      </c>
      <c r="F52" s="114">
        <f t="shared" si="1"/>
        <v>0.38696502027598684</v>
      </c>
      <c r="G52" s="41">
        <v>10193</v>
      </c>
      <c r="H52" s="40">
        <f t="shared" si="2"/>
        <v>0.14868570761735275</v>
      </c>
      <c r="I52" s="41">
        <v>15150</v>
      </c>
      <c r="J52" s="40">
        <f t="shared" si="3"/>
        <v>0.22099366922426117</v>
      </c>
      <c r="K52" s="41">
        <v>870</v>
      </c>
      <c r="L52" s="40">
        <f t="shared" si="4"/>
        <v>0.012690725559413018</v>
      </c>
      <c r="M52" s="41">
        <v>360</v>
      </c>
      <c r="N52" s="40">
        <f t="shared" si="5"/>
        <v>0.005251334714239869</v>
      </c>
      <c r="O52" s="41">
        <v>499</v>
      </c>
      <c r="P52" s="40">
        <f t="shared" si="6"/>
        <v>0.007278933395571375</v>
      </c>
      <c r="Q52" s="41">
        <v>631</v>
      </c>
      <c r="R52" s="40">
        <f t="shared" si="7"/>
        <v>0.009204422790792659</v>
      </c>
      <c r="S52" s="41">
        <v>2</v>
      </c>
      <c r="T52" s="40">
        <f t="shared" si="8"/>
        <v>2.917408174577705E-05</v>
      </c>
      <c r="U52" s="41">
        <v>2610</v>
      </c>
      <c r="V52" s="40">
        <f t="shared" si="9"/>
        <v>0.038072176678239054</v>
      </c>
      <c r="W52" s="42">
        <f t="shared" si="10"/>
        <v>68554</v>
      </c>
      <c r="X52" s="97">
        <v>0</v>
      </c>
      <c r="Y52" s="11"/>
    </row>
    <row r="53" spans="1:25" ht="7.5" customHeight="1">
      <c r="A53" s="15"/>
      <c r="B53" s="16"/>
      <c r="C53" s="17"/>
      <c r="D53" s="17"/>
      <c r="E53" s="17"/>
      <c r="F53" s="17"/>
      <c r="G53" s="17"/>
      <c r="H53" s="17"/>
      <c r="I53" s="24"/>
      <c r="J53" s="19"/>
      <c r="K53" s="18"/>
      <c r="L53" s="19"/>
      <c r="M53" s="18"/>
      <c r="N53" s="19"/>
      <c r="O53" s="18"/>
      <c r="P53" s="19"/>
      <c r="Q53" s="18"/>
      <c r="R53" s="19"/>
      <c r="S53" s="19"/>
      <c r="T53" s="19"/>
      <c r="U53" s="18"/>
      <c r="V53" s="18"/>
      <c r="W53" s="18"/>
      <c r="X53" s="18"/>
      <c r="Y53" s="18"/>
    </row>
    <row r="54" spans="2:20" ht="13.5">
      <c r="B54" s="93" t="s">
        <v>70</v>
      </c>
      <c r="C54" s="20"/>
      <c r="D54" s="21"/>
      <c r="F54" s="21"/>
      <c r="H54" s="21"/>
      <c r="I54" s="24"/>
      <c r="J54" s="21"/>
      <c r="L54" s="21"/>
      <c r="N54" s="21"/>
      <c r="P54" s="21"/>
      <c r="R54" s="21"/>
      <c r="S54" s="21"/>
      <c r="T54" s="21"/>
    </row>
    <row r="55" spans="2:20" ht="13.5">
      <c r="B55" s="93" t="s">
        <v>61</v>
      </c>
      <c r="D55" s="21"/>
      <c r="F55" s="21"/>
      <c r="H55" s="21"/>
      <c r="I55" s="24"/>
      <c r="J55" s="21"/>
      <c r="L55" s="21"/>
      <c r="N55" s="21"/>
      <c r="P55" s="21"/>
      <c r="R55" s="21"/>
      <c r="S55" s="21"/>
      <c r="T55" s="21"/>
    </row>
    <row r="56" spans="2:20" ht="13.5">
      <c r="B56" s="93" t="s">
        <v>66</v>
      </c>
      <c r="D56" s="21"/>
      <c r="F56" s="21"/>
      <c r="H56" s="21"/>
      <c r="J56" s="21"/>
      <c r="L56" s="21"/>
      <c r="N56" s="21"/>
      <c r="P56" s="21"/>
      <c r="R56" s="21"/>
      <c r="S56" s="21"/>
      <c r="T56" s="21"/>
    </row>
    <row r="57" spans="2:20" ht="13.5">
      <c r="B57" s="93" t="s">
        <v>67</v>
      </c>
      <c r="D57" s="21"/>
      <c r="F57" s="21"/>
      <c r="H57" s="21"/>
      <c r="J57" s="21"/>
      <c r="L57" s="21"/>
      <c r="N57" s="21"/>
      <c r="P57" s="21"/>
      <c r="R57" s="21"/>
      <c r="S57" s="21"/>
      <c r="T57" s="21"/>
    </row>
    <row r="58" spans="2:20" ht="13.5">
      <c r="B58" s="93" t="s">
        <v>77</v>
      </c>
      <c r="D58" s="21"/>
      <c r="F58" s="21"/>
      <c r="H58" s="21"/>
      <c r="J58" s="21"/>
      <c r="L58" s="21"/>
      <c r="N58" s="21"/>
      <c r="P58" s="21"/>
      <c r="R58" s="21"/>
      <c r="S58" s="21"/>
      <c r="T58" s="21"/>
    </row>
    <row r="59" spans="2:20" ht="13.5">
      <c r="B59" s="93" t="s">
        <v>78</v>
      </c>
      <c r="D59" s="21"/>
      <c r="F59" s="21"/>
      <c r="H59" s="21"/>
      <c r="J59" s="21"/>
      <c r="L59" s="21"/>
      <c r="N59" s="21"/>
      <c r="P59" s="21"/>
      <c r="R59" s="21"/>
      <c r="S59" s="21"/>
      <c r="T59" s="21"/>
    </row>
    <row r="60" ht="13.5">
      <c r="B60" s="93" t="s">
        <v>79</v>
      </c>
    </row>
    <row r="61" ht="13.5">
      <c r="B61" s="93" t="s">
        <v>87</v>
      </c>
    </row>
  </sheetData>
  <mergeCells count="1">
    <mergeCell ref="A7:B7"/>
  </mergeCells>
  <conditionalFormatting sqref="C8:C52">
    <cfRule type="cellIs" priority="1" dxfId="0" operator="equal" stopIfTrue="1">
      <formula>#REF!</formula>
    </cfRule>
  </conditionalFormatting>
  <conditionalFormatting sqref="D8:D52">
    <cfRule type="cellIs" priority="2" dxfId="0" operator="equal" stopIfTrue="1">
      <formula>#REF!</formula>
    </cfRule>
  </conditionalFormatting>
  <conditionalFormatting sqref="G8:G52">
    <cfRule type="cellIs" priority="3" dxfId="1" operator="equal" stopIfTrue="1">
      <formula>#REF!</formula>
    </cfRule>
  </conditionalFormatting>
  <conditionalFormatting sqref="H8:H52">
    <cfRule type="cellIs" priority="4" dxfId="1" operator="equal" stopIfTrue="1">
      <formula>#REF!</formula>
    </cfRule>
  </conditionalFormatting>
  <conditionalFormatting sqref="E8:E52">
    <cfRule type="cellIs" priority="5" dxfId="2" operator="equal" stopIfTrue="1">
      <formula>#REF!</formula>
    </cfRule>
  </conditionalFormatting>
  <conditionalFormatting sqref="F8:F52">
    <cfRule type="cellIs" priority="6" dxfId="2" operator="equal" stopIfTrue="1">
      <formula>#REF!</formula>
    </cfRule>
  </conditionalFormatting>
  <printOptions horizontalCentered="1"/>
  <pageMargins left="0.984251968503937" right="0.5905511811023623" top="0.3937007874015748" bottom="0.3937007874015748" header="0.1968503937007874" footer="0.1968503937007874"/>
  <pageSetup fitToHeight="1" fitToWidth="1" horizontalDpi="600" verticalDpi="600" orientation="landscape" paperSize="5" scale="71" r:id="rId2"/>
  <headerFooter alignWithMargins="0">
    <oddFooter>&amp;L&amp;F - &amp;A&amp;C&amp;"Arial Narrow,Normal"&amp;9&amp;P de &amp;N&amp;R&amp;"Arial Narrow,Normal"&amp;9&amp;D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1"/>
  <sheetViews>
    <sheetView workbookViewId="0" topLeftCell="A3">
      <pane xSplit="2" ySplit="5" topLeftCell="C8" activePane="bottomRight" state="frozen"/>
      <selection pane="topLeft" activeCell="D44" sqref="D44"/>
      <selection pane="topRight" activeCell="D44" sqref="D44"/>
      <selection pane="bottomLeft" activeCell="D44" sqref="D44"/>
      <selection pane="bottomRight" activeCell="C21" sqref="C21"/>
    </sheetView>
  </sheetViews>
  <sheetFormatPr defaultColWidth="11.421875" defaultRowHeight="12.75"/>
  <cols>
    <col min="1" max="1" width="3.7109375" style="0" customWidth="1"/>
    <col min="2" max="2" width="20.421875" style="0" customWidth="1"/>
    <col min="3" max="3" width="9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8.7109375" style="0" customWidth="1"/>
    <col min="12" max="12" width="7.7109375" style="0" customWidth="1"/>
    <col min="13" max="13" width="8.7109375" style="0" customWidth="1"/>
    <col min="14" max="14" width="7.7109375" style="0" customWidth="1"/>
    <col min="15" max="15" width="8.7109375" style="0" customWidth="1"/>
    <col min="16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1" width="8.7109375" style="0" customWidth="1"/>
    <col min="22" max="22" width="7.7109375" style="0" customWidth="1"/>
    <col min="23" max="23" width="9.7109375" style="0" customWidth="1"/>
    <col min="24" max="24" width="13.00390625" style="0" customWidth="1"/>
    <col min="25" max="25" width="10.00390625" style="0" customWidth="1"/>
    <col min="26" max="26" width="9.8515625" style="0" customWidth="1"/>
  </cols>
  <sheetData>
    <row r="1" spans="1:26" ht="15.75">
      <c r="A1" t="s">
        <v>8</v>
      </c>
      <c r="D1" s="2" t="s">
        <v>54</v>
      </c>
      <c r="W1" s="1"/>
      <c r="X1" s="1"/>
      <c r="Y1" s="1"/>
      <c r="Z1" s="1"/>
    </row>
    <row r="2" spans="3:26" ht="15">
      <c r="C2" s="4"/>
      <c r="D2" s="20" t="s">
        <v>53</v>
      </c>
      <c r="W2" s="1"/>
      <c r="X2" s="1"/>
      <c r="Y2" s="1"/>
      <c r="Z2" s="1"/>
    </row>
    <row r="3" spans="3:26" ht="12.75">
      <c r="C3" s="5"/>
      <c r="D3" s="20" t="s">
        <v>84</v>
      </c>
      <c r="W3" s="1"/>
      <c r="X3" s="1"/>
      <c r="Y3" s="1"/>
      <c r="Z3" s="1"/>
    </row>
    <row r="4" spans="1:26" ht="10.5" customHeight="1">
      <c r="A4" s="6"/>
      <c r="B4" s="7"/>
      <c r="C4" s="6"/>
      <c r="D4" s="6"/>
      <c r="E4" s="6"/>
      <c r="F4" s="6"/>
      <c r="G4" s="8"/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9"/>
      <c r="X4" s="9"/>
      <c r="Y4" s="9"/>
      <c r="Z4" s="9"/>
    </row>
    <row r="5" spans="1:26" ht="13.5">
      <c r="A5" s="68" t="s">
        <v>9</v>
      </c>
      <c r="B5" s="69"/>
      <c r="C5" s="70" t="s">
        <v>0</v>
      </c>
      <c r="D5" s="71"/>
      <c r="E5" s="70" t="s">
        <v>45</v>
      </c>
      <c r="F5" s="71"/>
      <c r="G5" s="70" t="s">
        <v>1</v>
      </c>
      <c r="H5" s="71"/>
      <c r="I5" s="70" t="s">
        <v>2</v>
      </c>
      <c r="J5" s="71"/>
      <c r="K5" s="70" t="s">
        <v>6</v>
      </c>
      <c r="L5" s="71"/>
      <c r="M5" s="70" t="s">
        <v>3</v>
      </c>
      <c r="N5" s="71"/>
      <c r="O5" s="70" t="s">
        <v>4</v>
      </c>
      <c r="P5" s="71"/>
      <c r="Q5" s="70" t="s">
        <v>7</v>
      </c>
      <c r="R5" s="71"/>
      <c r="S5" s="70" t="s">
        <v>10</v>
      </c>
      <c r="T5" s="71"/>
      <c r="U5" s="72" t="s">
        <v>50</v>
      </c>
      <c r="V5" s="72"/>
      <c r="W5" s="73" t="s">
        <v>5</v>
      </c>
      <c r="X5" s="91" t="s">
        <v>76</v>
      </c>
      <c r="Y5" s="100" t="s">
        <v>80</v>
      </c>
      <c r="Z5" s="100" t="s">
        <v>81</v>
      </c>
    </row>
    <row r="6" spans="1:26" ht="13.5">
      <c r="A6" s="63"/>
      <c r="B6" s="64"/>
      <c r="C6" s="65" t="s">
        <v>11</v>
      </c>
      <c r="D6" s="66" t="s">
        <v>12</v>
      </c>
      <c r="E6" s="65" t="s">
        <v>11</v>
      </c>
      <c r="F6" s="66" t="s">
        <v>12</v>
      </c>
      <c r="G6" s="65" t="s">
        <v>11</v>
      </c>
      <c r="H6" s="66" t="s">
        <v>12</v>
      </c>
      <c r="I6" s="65" t="s">
        <v>11</v>
      </c>
      <c r="J6" s="66" t="s">
        <v>12</v>
      </c>
      <c r="K6" s="65" t="s">
        <v>11</v>
      </c>
      <c r="L6" s="66" t="s">
        <v>12</v>
      </c>
      <c r="M6" s="65" t="s">
        <v>11</v>
      </c>
      <c r="N6" s="66" t="s">
        <v>12</v>
      </c>
      <c r="O6" s="65" t="s">
        <v>11</v>
      </c>
      <c r="P6" s="66" t="s">
        <v>12</v>
      </c>
      <c r="Q6" s="65" t="s">
        <v>11</v>
      </c>
      <c r="R6" s="66" t="s">
        <v>12</v>
      </c>
      <c r="S6" s="65" t="s">
        <v>11</v>
      </c>
      <c r="T6" s="66" t="s">
        <v>12</v>
      </c>
      <c r="U6" s="65" t="s">
        <v>11</v>
      </c>
      <c r="V6" s="66" t="s">
        <v>12</v>
      </c>
      <c r="W6" s="67"/>
      <c r="X6" s="92" t="s">
        <v>75</v>
      </c>
      <c r="Y6" s="92" t="s">
        <v>82</v>
      </c>
      <c r="Z6" s="92" t="s">
        <v>83</v>
      </c>
    </row>
    <row r="7" spans="1:26" ht="12.75">
      <c r="A7" s="119" t="s">
        <v>5</v>
      </c>
      <c r="B7" s="120"/>
      <c r="C7" s="101">
        <f>SUM(C8:C52)</f>
        <v>998216</v>
      </c>
      <c r="D7" s="102">
        <f>C7/$W$7</f>
        <v>0.2866674765137176</v>
      </c>
      <c r="E7" s="101">
        <f>SUM(E8:E52)</f>
        <v>1212940</v>
      </c>
      <c r="F7" s="102">
        <f>E7/$W$7</f>
        <v>0.34833187302402346</v>
      </c>
      <c r="G7" s="101">
        <f>SUM(G8:G52)</f>
        <v>826773</v>
      </c>
      <c r="H7" s="102">
        <f>G7/$W$7</f>
        <v>0.23743250915601014</v>
      </c>
      <c r="I7" s="101">
        <f>SUM(I8:I52)</f>
        <v>147700</v>
      </c>
      <c r="J7" s="102">
        <f>I7/$W$7</f>
        <v>0.04241645724079366</v>
      </c>
      <c r="K7" s="101">
        <f>SUM(K8:K52)</f>
        <v>94797</v>
      </c>
      <c r="L7" s="102">
        <f>K7/$W$7</f>
        <v>0.02722378400172997</v>
      </c>
      <c r="M7" s="101">
        <f>SUM(M8:M52)</f>
        <v>30764</v>
      </c>
      <c r="N7" s="102">
        <f>M7/$W$7</f>
        <v>0.008834799529829223</v>
      </c>
      <c r="O7" s="101">
        <f>SUM(O8:O52)</f>
        <v>30404</v>
      </c>
      <c r="P7" s="102">
        <f>O7/$W$7</f>
        <v>0.008731414799926137</v>
      </c>
      <c r="Q7" s="101">
        <f>SUM(Q8:Q52)</f>
        <v>38768</v>
      </c>
      <c r="R7" s="102">
        <f>Q7/$W$7</f>
        <v>0.011133386691341155</v>
      </c>
      <c r="S7" s="101">
        <f>SUM(S8:S52)</f>
        <v>1646</v>
      </c>
      <c r="T7" s="102">
        <f>S7/$W$7</f>
        <v>0.0004726979595013295</v>
      </c>
      <c r="U7" s="101">
        <f>SUM(U8:U52)</f>
        <v>100131</v>
      </c>
      <c r="V7" s="102">
        <f>U7/$W$7</f>
        <v>0.028755601083127354</v>
      </c>
      <c r="W7" s="101">
        <f>SUM(W8:W52)</f>
        <v>3482139</v>
      </c>
      <c r="X7" s="103">
        <f>SUM(X8:X52)</f>
        <v>7463</v>
      </c>
      <c r="Y7" s="103">
        <f>SUM(Y8:Y52)</f>
        <v>8147617</v>
      </c>
      <c r="Z7" s="108">
        <f>(W7+X7)/Y7</f>
        <v>0.4282972555042781</v>
      </c>
    </row>
    <row r="8" spans="1:26" ht="12.75">
      <c r="A8" s="26">
        <v>1</v>
      </c>
      <c r="B8" s="27" t="s">
        <v>13</v>
      </c>
      <c r="C8" s="109">
        <f>'Mayoría relativa'!C8+'casillas especiales'!E8</f>
        <v>39495</v>
      </c>
      <c r="D8" s="110">
        <f>C8/$W8</f>
        <v>0.4252077860557254</v>
      </c>
      <c r="E8" s="33">
        <f>'Mayoría relativa'!E8+'casillas especiales'!F8</f>
        <v>33235</v>
      </c>
      <c r="F8" s="32">
        <f>E8/$W8</f>
        <v>0.35781189440592565</v>
      </c>
      <c r="G8" s="33">
        <f>'Mayoría relativa'!G8+'casillas especiales'!G8</f>
        <v>10758</v>
      </c>
      <c r="H8" s="32">
        <f>G8/$W8</f>
        <v>0.1158218853623875</v>
      </c>
      <c r="I8" s="33">
        <f>'Mayoría relativa'!I8+'casillas especiales'!H8</f>
        <v>3054</v>
      </c>
      <c r="J8" s="32">
        <f>I8/$W8</f>
        <v>0.03287972094225055</v>
      </c>
      <c r="K8" s="33">
        <f>'Mayoría relativa'!K8+'casillas especiales'!I8</f>
        <v>2122</v>
      </c>
      <c r="L8" s="32">
        <f>K8/$W8</f>
        <v>0.02284570001291934</v>
      </c>
      <c r="M8" s="33">
        <f>'Mayoría relativa'!M8+'casillas especiales'!J8</f>
        <v>478</v>
      </c>
      <c r="N8" s="32">
        <f>M8/$W8</f>
        <v>0.005146203867189182</v>
      </c>
      <c r="O8" s="33">
        <f>'Mayoría relativa'!O8+'casillas especiales'!K8</f>
        <v>396</v>
      </c>
      <c r="P8" s="32">
        <f>O8/$W8</f>
        <v>0.004263382283278067</v>
      </c>
      <c r="Q8" s="33">
        <f>'Mayoría relativa'!Q8+'casillas especiales'!L8</f>
        <v>720</v>
      </c>
      <c r="R8" s="32">
        <f>Q8/$W8</f>
        <v>0.007751604151414668</v>
      </c>
      <c r="S8" s="33">
        <f>'Mayoría relativa'!S8+'casillas especiales'!M8</f>
        <v>49</v>
      </c>
      <c r="T8" s="32">
        <f>S8/$W8</f>
        <v>0.000527539726971276</v>
      </c>
      <c r="U8" s="33">
        <f>'Mayoría relativa'!U8+'casillas especiales'!N8</f>
        <v>2577</v>
      </c>
      <c r="V8" s="32">
        <f>U8/$W8</f>
        <v>0.02774428319193833</v>
      </c>
      <c r="W8" s="33">
        <f aca="true" t="shared" si="0" ref="W8:W52">C8+E8+G8+I8+K8+M8+O8+Q8+U8+S8</f>
        <v>92884</v>
      </c>
      <c r="X8" s="104">
        <v>0</v>
      </c>
      <c r="Y8" s="104">
        <v>189477</v>
      </c>
      <c r="Z8" s="105">
        <f aca="true" t="shared" si="1" ref="Z8:Z52">(W8+X8)/Y8</f>
        <v>0.49021253239179424</v>
      </c>
    </row>
    <row r="9" spans="1:26" ht="12.75">
      <c r="A9" s="28">
        <v>2</v>
      </c>
      <c r="B9" s="29" t="s">
        <v>13</v>
      </c>
      <c r="C9" s="35">
        <f>'Mayoría relativa'!C9+'casillas especiales'!E9</f>
        <v>41053</v>
      </c>
      <c r="D9" s="36">
        <f aca="true" t="shared" si="2" ref="D9:D52">C9/$W9</f>
        <v>0.38261444974649567</v>
      </c>
      <c r="E9" s="115">
        <f>'Mayoría relativa'!E9+'casillas especiales'!F9</f>
        <v>42975</v>
      </c>
      <c r="F9" s="116">
        <f aca="true" t="shared" si="3" ref="F9:F52">E9/$W9</f>
        <v>0.40052751267521625</v>
      </c>
      <c r="G9" s="37">
        <f>'Mayoría relativa'!G9+'casillas especiales'!G9</f>
        <v>11498</v>
      </c>
      <c r="H9" s="36">
        <f aca="true" t="shared" si="4" ref="H9:H52">G9/$W9</f>
        <v>0.10716149716671637</v>
      </c>
      <c r="I9" s="37">
        <f>'Mayoría relativa'!I9+'casillas especiales'!H9</f>
        <v>3078</v>
      </c>
      <c r="J9" s="36">
        <f aca="true" t="shared" si="5" ref="J9:J52">I9/$W9</f>
        <v>0.0286869967193558</v>
      </c>
      <c r="K9" s="37">
        <f>'Mayoría relativa'!K9+'casillas especiales'!I9</f>
        <v>3510</v>
      </c>
      <c r="L9" s="36">
        <f aca="true" t="shared" si="6" ref="L9:L52">K9/$W9</f>
        <v>0.0327132418729496</v>
      </c>
      <c r="M9" s="37">
        <f>'Mayoría relativa'!M9+'casillas especiales'!J9</f>
        <v>502</v>
      </c>
      <c r="N9" s="36">
        <f aca="true" t="shared" si="7" ref="N9:N52">M9/$W9</f>
        <v>0.004678645988666866</v>
      </c>
      <c r="O9" s="37">
        <f>'Mayoría relativa'!O9+'casillas especiales'!K9</f>
        <v>443</v>
      </c>
      <c r="P9" s="36">
        <f aca="true" t="shared" si="8" ref="P9:P52">O9/$W9</f>
        <v>0.004128765284819564</v>
      </c>
      <c r="Q9" s="37">
        <f>'Mayoría relativa'!Q9+'casillas especiales'!L9</f>
        <v>778</v>
      </c>
      <c r="R9" s="36">
        <f aca="true" t="shared" si="9" ref="R9:R52">Q9/$W9</f>
        <v>0.00725096928124068</v>
      </c>
      <c r="S9" s="37">
        <f>'Mayoría relativa'!S9+'casillas especiales'!M9</f>
        <v>26</v>
      </c>
      <c r="T9" s="36">
        <f aca="true" t="shared" si="10" ref="T9:T52">S9/$W9</f>
        <v>0.00024232031016999702</v>
      </c>
      <c r="U9" s="37">
        <f>'Mayoría relativa'!U9+'casillas especiales'!N9</f>
        <v>3433</v>
      </c>
      <c r="V9" s="36">
        <f aca="true" t="shared" si="11" ref="V9:V52">U9/$W9</f>
        <v>0.03199560095436922</v>
      </c>
      <c r="W9" s="37">
        <f t="shared" si="0"/>
        <v>107296</v>
      </c>
      <c r="X9" s="56">
        <v>0</v>
      </c>
      <c r="Y9" s="56">
        <v>229623</v>
      </c>
      <c r="Z9" s="106">
        <f t="shared" si="1"/>
        <v>0.4672702647382884</v>
      </c>
    </row>
    <row r="10" spans="1:26" ht="12.75">
      <c r="A10" s="28">
        <v>3</v>
      </c>
      <c r="B10" s="29" t="s">
        <v>14</v>
      </c>
      <c r="C10" s="35">
        <f>'Mayoría relativa'!C10+'casillas especiales'!E10</f>
        <v>9367</v>
      </c>
      <c r="D10" s="36">
        <f t="shared" si="2"/>
        <v>0.13292558324345802</v>
      </c>
      <c r="E10" s="115">
        <f>'Mayoría relativa'!E10+'casillas especiales'!F10</f>
        <v>26440</v>
      </c>
      <c r="F10" s="116">
        <f t="shared" si="3"/>
        <v>0.3752057671567236</v>
      </c>
      <c r="G10" s="37">
        <f>'Mayoría relativa'!G10+'casillas especiales'!G10</f>
        <v>17808</v>
      </c>
      <c r="H10" s="36">
        <f t="shared" si="4"/>
        <v>0.2527104501333939</v>
      </c>
      <c r="I10" s="37">
        <f>'Mayoría relativa'!I10+'casillas especiales'!H10</f>
        <v>11830</v>
      </c>
      <c r="J10" s="36">
        <f t="shared" si="5"/>
        <v>0.16787761820968383</v>
      </c>
      <c r="K10" s="37">
        <f>'Mayoría relativa'!K10+'casillas especiales'!I10</f>
        <v>1801</v>
      </c>
      <c r="L10" s="36">
        <f t="shared" si="6"/>
        <v>0.025557699948912983</v>
      </c>
      <c r="M10" s="37">
        <f>'Mayoría relativa'!M10+'casillas especiales'!J10</f>
        <v>247</v>
      </c>
      <c r="N10" s="36">
        <f t="shared" si="7"/>
        <v>0.0035051370834988933</v>
      </c>
      <c r="O10" s="37">
        <f>'Mayoría relativa'!O10+'casillas especiales'!K10</f>
        <v>202</v>
      </c>
      <c r="P10" s="36">
        <f t="shared" si="8"/>
        <v>0.0028665493557359367</v>
      </c>
      <c r="Q10" s="37">
        <f>'Mayoría relativa'!Q10+'casillas especiales'!L10</f>
        <v>425</v>
      </c>
      <c r="R10" s="36">
        <f t="shared" si="9"/>
        <v>0.0060311063177612536</v>
      </c>
      <c r="S10" s="37">
        <f>'Mayoría relativa'!S10+'casillas especiales'!M10</f>
        <v>13</v>
      </c>
      <c r="T10" s="36">
        <f t="shared" si="10"/>
        <v>0.0001844808991315207</v>
      </c>
      <c r="U10" s="37">
        <f>'Mayoría relativa'!U10+'casillas especiales'!N10</f>
        <v>2335</v>
      </c>
      <c r="V10" s="36">
        <f t="shared" si="11"/>
        <v>0.03313560765170006</v>
      </c>
      <c r="W10" s="37">
        <f t="shared" si="0"/>
        <v>70468</v>
      </c>
      <c r="X10" s="56">
        <v>0</v>
      </c>
      <c r="Y10" s="56">
        <v>126319</v>
      </c>
      <c r="Z10" s="106">
        <f t="shared" si="1"/>
        <v>0.557857487788852</v>
      </c>
    </row>
    <row r="11" spans="1:26" ht="12.75">
      <c r="A11" s="28">
        <v>4</v>
      </c>
      <c r="B11" s="29" t="s">
        <v>46</v>
      </c>
      <c r="C11" s="35">
        <f>'Mayoría relativa'!C11+'casillas especiales'!E11+'casillas especiales'!E12</f>
        <v>16349</v>
      </c>
      <c r="D11" s="36">
        <f t="shared" si="2"/>
        <v>0.23462973593570607</v>
      </c>
      <c r="E11" s="115">
        <f>'Mayoría relativa'!E11+'casillas especiales'!F11+'casillas especiales'!F12</f>
        <v>26394</v>
      </c>
      <c r="F11" s="116">
        <f t="shared" si="3"/>
        <v>0.378788748564868</v>
      </c>
      <c r="G11" s="37">
        <f>'Mayoría relativa'!G11+'casillas especiales'!G11+'casillas especiales'!G12</f>
        <v>14365</v>
      </c>
      <c r="H11" s="36">
        <f t="shared" si="4"/>
        <v>0.20615671641791045</v>
      </c>
      <c r="I11" s="37">
        <f>'Mayoría relativa'!I11+'casillas especiales'!H11+'casillas especiales'!H12</f>
        <v>4193</v>
      </c>
      <c r="J11" s="36">
        <f t="shared" si="5"/>
        <v>0.06017508610792193</v>
      </c>
      <c r="K11" s="37">
        <f>'Mayoría relativa'!K11+'casillas especiales'!I11+'casillas especiales'!I12</f>
        <v>1278</v>
      </c>
      <c r="L11" s="36">
        <f t="shared" si="6"/>
        <v>0.018340987370838117</v>
      </c>
      <c r="M11" s="37">
        <f>'Mayoría relativa'!M11+'casillas especiales'!J11+'casillas especiales'!J12</f>
        <v>2252</v>
      </c>
      <c r="N11" s="36">
        <f t="shared" si="7"/>
        <v>0.03231917336394948</v>
      </c>
      <c r="O11" s="37">
        <f>'Mayoría relativa'!O11+'casillas especiales'!K11+'casillas especiales'!K12</f>
        <v>1893</v>
      </c>
      <c r="P11" s="36">
        <f t="shared" si="8"/>
        <v>0.027167049368541907</v>
      </c>
      <c r="Q11" s="37">
        <f>'Mayoría relativa'!Q11+'casillas especiales'!L11+'casillas especiales'!L12</f>
        <v>1148</v>
      </c>
      <c r="R11" s="36">
        <f t="shared" si="9"/>
        <v>0.016475315729047074</v>
      </c>
      <c r="S11" s="37">
        <f>'Mayoría relativa'!S11+'casillas especiales'!M11+'casillas especiales'!M12</f>
        <v>11</v>
      </c>
      <c r="T11" s="36">
        <f t="shared" si="10"/>
        <v>0.00015786452353616534</v>
      </c>
      <c r="U11" s="37">
        <f>'Mayoría relativa'!U11+'casillas especiales'!N11+'casillas especiales'!N12</f>
        <v>1797</v>
      </c>
      <c r="V11" s="36">
        <f t="shared" si="11"/>
        <v>0.025789322617680827</v>
      </c>
      <c r="W11" s="37">
        <f t="shared" si="0"/>
        <v>69680</v>
      </c>
      <c r="X11" s="56">
        <v>0</v>
      </c>
      <c r="Y11" s="56">
        <v>123352</v>
      </c>
      <c r="Z11" s="106">
        <f t="shared" si="1"/>
        <v>0.5648874764900448</v>
      </c>
    </row>
    <row r="12" spans="1:26" ht="12.75">
      <c r="A12" s="28">
        <v>5</v>
      </c>
      <c r="B12" s="29" t="s">
        <v>15</v>
      </c>
      <c r="C12" s="35">
        <f>'Mayoría relativa'!C12+'casillas especiales'!E13</f>
        <v>9050</v>
      </c>
      <c r="D12" s="36">
        <f t="shared" si="2"/>
        <v>0.20869364695030554</v>
      </c>
      <c r="E12" s="115">
        <f>'Mayoría relativa'!E12+'casillas especiales'!F13</f>
        <v>18616</v>
      </c>
      <c r="F12" s="116">
        <f t="shared" si="3"/>
        <v>0.42928629078750147</v>
      </c>
      <c r="G12" s="37">
        <f>'Mayoría relativa'!G12+'casillas especiales'!G13</f>
        <v>9561</v>
      </c>
      <c r="H12" s="36">
        <f t="shared" si="4"/>
        <v>0.22047734347976478</v>
      </c>
      <c r="I12" s="37">
        <f>'Mayoría relativa'!I12+'casillas especiales'!H13</f>
        <v>2950</v>
      </c>
      <c r="J12" s="36">
        <f t="shared" si="5"/>
        <v>0.06802721088435375</v>
      </c>
      <c r="K12" s="37">
        <f>'Mayoría relativa'!K12+'casillas especiales'!I13</f>
        <v>254</v>
      </c>
      <c r="L12" s="36">
        <f t="shared" si="6"/>
        <v>0.005857258157500289</v>
      </c>
      <c r="M12" s="37">
        <f>'Mayoría relativa'!M12+'casillas especiales'!J13</f>
        <v>1354</v>
      </c>
      <c r="N12" s="36">
        <f t="shared" si="7"/>
        <v>0.031223336792344056</v>
      </c>
      <c r="O12" s="37">
        <f>'Mayoría relativa'!O12+'casillas especiales'!K13</f>
        <v>81</v>
      </c>
      <c r="P12" s="36">
        <f t="shared" si="8"/>
        <v>0.0018678657903839501</v>
      </c>
      <c r="Q12" s="37">
        <f>'Mayoría relativa'!Q12+'casillas especiales'!L13</f>
        <v>145</v>
      </c>
      <c r="R12" s="36">
        <f t="shared" si="9"/>
        <v>0.003343710365502133</v>
      </c>
      <c r="S12" s="37">
        <f>'Mayoría relativa'!S12+'casillas especiales'!M13</f>
        <v>33</v>
      </c>
      <c r="T12" s="36">
        <f t="shared" si="10"/>
        <v>0.000760982359045313</v>
      </c>
      <c r="U12" s="37">
        <f>'Mayoría relativa'!U12+'casillas especiales'!N13</f>
        <v>1321</v>
      </c>
      <c r="V12" s="36">
        <f t="shared" si="11"/>
        <v>0.030462354433298745</v>
      </c>
      <c r="W12" s="37">
        <f t="shared" si="0"/>
        <v>43365</v>
      </c>
      <c r="X12" s="56">
        <v>0</v>
      </c>
      <c r="Y12" s="56">
        <v>76996</v>
      </c>
      <c r="Z12" s="106">
        <f t="shared" si="1"/>
        <v>0.5632110759000467</v>
      </c>
    </row>
    <row r="13" spans="1:26" ht="12.75">
      <c r="A13" s="28">
        <v>6</v>
      </c>
      <c r="B13" s="29" t="s">
        <v>16</v>
      </c>
      <c r="C13" s="35">
        <f>'Mayoría relativa'!C13+'casillas especiales'!E14</f>
        <v>8245</v>
      </c>
      <c r="D13" s="36">
        <f t="shared" si="2"/>
        <v>0.2649421593830334</v>
      </c>
      <c r="E13" s="115">
        <f>'Mayoría relativa'!E13+'casillas especiales'!F14</f>
        <v>11237</v>
      </c>
      <c r="F13" s="116">
        <f t="shared" si="3"/>
        <v>0.36108611825192805</v>
      </c>
      <c r="G13" s="37">
        <f>'Mayoría relativa'!G13+'casillas especiales'!G14</f>
        <v>8452</v>
      </c>
      <c r="H13" s="36">
        <f t="shared" si="4"/>
        <v>0.2715938303341902</v>
      </c>
      <c r="I13" s="37">
        <f>'Mayoría relativa'!I13+'casillas especiales'!H14</f>
        <v>1637</v>
      </c>
      <c r="J13" s="36">
        <f t="shared" si="5"/>
        <v>0.052602827763496146</v>
      </c>
      <c r="K13" s="37">
        <f>'Mayoría relativa'!K13+'casillas especiales'!I14</f>
        <v>382</v>
      </c>
      <c r="L13" s="36">
        <f t="shared" si="6"/>
        <v>0.012275064267352184</v>
      </c>
      <c r="M13" s="37">
        <f>'Mayoría relativa'!M13+'casillas especiales'!J14</f>
        <v>53</v>
      </c>
      <c r="N13" s="36">
        <f t="shared" si="7"/>
        <v>0.0017030848329048843</v>
      </c>
      <c r="O13" s="37">
        <f>'Mayoría relativa'!O13+'casillas especiales'!K14</f>
        <v>44</v>
      </c>
      <c r="P13" s="36">
        <f t="shared" si="8"/>
        <v>0.0014138817480719794</v>
      </c>
      <c r="Q13" s="37">
        <f>'Mayoría relativa'!Q13+'casillas especiales'!L14</f>
        <v>155</v>
      </c>
      <c r="R13" s="36">
        <f t="shared" si="9"/>
        <v>0.004980719794344473</v>
      </c>
      <c r="S13" s="37">
        <f>'Mayoría relativa'!S13+'casillas especiales'!M14</f>
        <v>1</v>
      </c>
      <c r="T13" s="36">
        <f t="shared" si="10"/>
        <v>3.2133676092544985E-05</v>
      </c>
      <c r="U13" s="37">
        <f>'Mayoría relativa'!U13+'casillas especiales'!N14</f>
        <v>914</v>
      </c>
      <c r="V13" s="36">
        <f t="shared" si="11"/>
        <v>0.02937017994858612</v>
      </c>
      <c r="W13" s="37">
        <f t="shared" si="0"/>
        <v>31120</v>
      </c>
      <c r="X13" s="56">
        <v>0</v>
      </c>
      <c r="Y13" s="56">
        <v>65726</v>
      </c>
      <c r="Z13" s="106">
        <f t="shared" si="1"/>
        <v>0.47348081428962663</v>
      </c>
    </row>
    <row r="14" spans="1:26" ht="12.75">
      <c r="A14" s="28">
        <v>7</v>
      </c>
      <c r="B14" s="29" t="s">
        <v>47</v>
      </c>
      <c r="C14" s="35">
        <f>'Mayoría relativa'!C14+'casillas especiales'!E15+'casillas especiales'!E16</f>
        <v>14544</v>
      </c>
      <c r="D14" s="36">
        <f t="shared" si="2"/>
        <v>0.3147983809874245</v>
      </c>
      <c r="E14" s="115">
        <f>'Mayoría relativa'!E14+'casillas especiales'!F15+'casillas especiales'!F16</f>
        <v>17907</v>
      </c>
      <c r="F14" s="116">
        <f t="shared" si="3"/>
        <v>0.387589013224822</v>
      </c>
      <c r="G14" s="37">
        <f>'Mayoría relativa'!G14+'casillas especiales'!G15+'casillas especiales'!G16</f>
        <v>8826</v>
      </c>
      <c r="H14" s="36">
        <f t="shared" si="4"/>
        <v>0.19103482608601546</v>
      </c>
      <c r="I14" s="37">
        <f>'Mayoría relativa'!I14+'casillas especiales'!H15+'casillas especiales'!H16</f>
        <v>2582</v>
      </c>
      <c r="J14" s="36">
        <f t="shared" si="5"/>
        <v>0.05588623622865306</v>
      </c>
      <c r="K14" s="37">
        <f>'Mayoría relativa'!K14+'casillas especiales'!I15+'casillas especiales'!I16</f>
        <v>55</v>
      </c>
      <c r="L14" s="36">
        <f t="shared" si="6"/>
        <v>0.001190450423151014</v>
      </c>
      <c r="M14" s="37">
        <f>'Mayoría relativa'!M14+'casillas especiales'!J15+'casillas especiales'!J16</f>
        <v>104</v>
      </c>
      <c r="N14" s="36">
        <f t="shared" si="7"/>
        <v>0.0022510335274128265</v>
      </c>
      <c r="O14" s="37">
        <f>'Mayoría relativa'!O14+'casillas especiales'!K15+'casillas especiales'!K16</f>
        <v>270</v>
      </c>
      <c r="P14" s="36">
        <f t="shared" si="8"/>
        <v>0.005844029350014069</v>
      </c>
      <c r="Q14" s="37">
        <f>'Mayoría relativa'!Q14+'casillas especiales'!L15+'casillas especiales'!L16</f>
        <v>393</v>
      </c>
      <c r="R14" s="36">
        <f t="shared" si="9"/>
        <v>0.0085063093872427</v>
      </c>
      <c r="S14" s="37">
        <f>'Mayoría relativa'!S14+'casillas especiales'!M15+'casillas especiales'!M16</f>
        <v>18</v>
      </c>
      <c r="T14" s="36">
        <f t="shared" si="10"/>
        <v>0.0003896019566676046</v>
      </c>
      <c r="U14" s="37">
        <f>'Mayoría relativa'!U14+'casillas especiales'!N15+'casillas especiales'!N16</f>
        <v>1502</v>
      </c>
      <c r="V14" s="36">
        <f t="shared" si="11"/>
        <v>0.032510118828596786</v>
      </c>
      <c r="W14" s="37">
        <f t="shared" si="0"/>
        <v>46201</v>
      </c>
      <c r="X14" s="56">
        <v>0</v>
      </c>
      <c r="Y14" s="56">
        <v>87288</v>
      </c>
      <c r="Z14" s="106">
        <f t="shared" si="1"/>
        <v>0.5292938319127486</v>
      </c>
    </row>
    <row r="15" spans="1:26" ht="12.75">
      <c r="A15" s="28">
        <v>8</v>
      </c>
      <c r="B15" s="29" t="s">
        <v>17</v>
      </c>
      <c r="C15" s="35">
        <f>'Mayoría relativa'!C15+'casillas especiales'!E17</f>
        <v>9587</v>
      </c>
      <c r="D15" s="36">
        <f t="shared" si="2"/>
        <v>0.26715898007524036</v>
      </c>
      <c r="E15" s="115">
        <f>'Mayoría relativa'!E15+'casillas especiales'!F17</f>
        <v>15879</v>
      </c>
      <c r="F15" s="116">
        <f t="shared" si="3"/>
        <v>0.44249686498536994</v>
      </c>
      <c r="G15" s="37">
        <f>'Mayoría relativa'!G15+'casillas especiales'!G17</f>
        <v>6229</v>
      </c>
      <c r="H15" s="36">
        <f t="shared" si="4"/>
        <v>0.17358227671729135</v>
      </c>
      <c r="I15" s="37">
        <f>'Mayoría relativa'!I15+'casillas especiales'!H17</f>
        <v>1266</v>
      </c>
      <c r="J15" s="36">
        <f t="shared" si="5"/>
        <v>0.035279364637034974</v>
      </c>
      <c r="K15" s="37">
        <f>'Mayoría relativa'!K15+'casillas especiales'!I17</f>
        <v>85</v>
      </c>
      <c r="L15" s="36">
        <f t="shared" si="6"/>
        <v>0.002368677720496029</v>
      </c>
      <c r="M15" s="37">
        <f>'Mayoría relativa'!M15+'casillas especiales'!J17</f>
        <v>85</v>
      </c>
      <c r="N15" s="36">
        <f t="shared" si="7"/>
        <v>0.002368677720496029</v>
      </c>
      <c r="O15" s="37">
        <f>'Mayoría relativa'!O15+'casillas especiales'!K17</f>
        <v>734</v>
      </c>
      <c r="P15" s="36">
        <f t="shared" si="8"/>
        <v>0.020454228786401005</v>
      </c>
      <c r="Q15" s="37">
        <f>'Mayoría relativa'!Q15+'casillas especiales'!L17</f>
        <v>843</v>
      </c>
      <c r="R15" s="36">
        <f t="shared" si="9"/>
        <v>0.023491709627978263</v>
      </c>
      <c r="S15" s="37">
        <f>'Mayoría relativa'!S15+'casillas especiales'!M17</f>
        <v>5</v>
      </c>
      <c r="T15" s="36">
        <f t="shared" si="10"/>
        <v>0.00013933398355858994</v>
      </c>
      <c r="U15" s="37">
        <f>'Mayoría relativa'!U15+'casillas especiales'!N17</f>
        <v>1172</v>
      </c>
      <c r="V15" s="36">
        <f t="shared" si="11"/>
        <v>0.03265988574613348</v>
      </c>
      <c r="W15" s="37">
        <f t="shared" si="0"/>
        <v>35885</v>
      </c>
      <c r="X15" s="56">
        <v>0</v>
      </c>
      <c r="Y15" s="56">
        <v>59178</v>
      </c>
      <c r="Z15" s="106">
        <f t="shared" si="1"/>
        <v>0.6063908885058636</v>
      </c>
    </row>
    <row r="16" spans="1:26" ht="12.75">
      <c r="A16" s="28">
        <v>9</v>
      </c>
      <c r="B16" s="29" t="s">
        <v>18</v>
      </c>
      <c r="C16" s="35">
        <f>'Mayoría relativa'!C16+'casillas especiales'!E18</f>
        <v>3076</v>
      </c>
      <c r="D16" s="36">
        <f t="shared" si="2"/>
        <v>0.05605569121988556</v>
      </c>
      <c r="E16" s="37">
        <f>'Mayoría relativa'!E16+'casillas especiales'!F18</f>
        <v>20454</v>
      </c>
      <c r="F16" s="36">
        <f t="shared" si="3"/>
        <v>0.37274483361883587</v>
      </c>
      <c r="G16" s="117">
        <f>'Mayoría relativa'!G16+'casillas especiales'!G18</f>
        <v>23756</v>
      </c>
      <c r="H16" s="118">
        <f t="shared" si="4"/>
        <v>0.4329190509166454</v>
      </c>
      <c r="I16" s="37">
        <f>'Mayoría relativa'!I16+'casillas especiales'!H18</f>
        <v>593</v>
      </c>
      <c r="J16" s="36">
        <f t="shared" si="5"/>
        <v>0.010806575062871306</v>
      </c>
      <c r="K16" s="37">
        <f>'Mayoría relativa'!K16+'casillas especiales'!I18</f>
        <v>4501</v>
      </c>
      <c r="L16" s="36">
        <f t="shared" si="6"/>
        <v>0.08202427379086635</v>
      </c>
      <c r="M16" s="37">
        <f>'Mayoría relativa'!M16+'casillas especiales'!J18</f>
        <v>124</v>
      </c>
      <c r="N16" s="36">
        <f t="shared" si="7"/>
        <v>0.002259722272843241</v>
      </c>
      <c r="O16" s="37">
        <f>'Mayoría relativa'!O16+'casillas especiales'!K18</f>
        <v>103</v>
      </c>
      <c r="P16" s="36">
        <f t="shared" si="8"/>
        <v>0.0018770273717972081</v>
      </c>
      <c r="Q16" s="37">
        <f>'Mayoría relativa'!Q16+'casillas especiales'!L18</f>
        <v>294</v>
      </c>
      <c r="R16" s="36">
        <f t="shared" si="9"/>
        <v>0.0053577286146444586</v>
      </c>
      <c r="S16" s="37">
        <f>'Mayoría relativa'!S16+'casillas especiales'!M18</f>
        <v>15</v>
      </c>
      <c r="T16" s="36">
        <f t="shared" si="10"/>
        <v>0.0002733535007471662</v>
      </c>
      <c r="U16" s="37">
        <f>'Mayoría relativa'!U16+'casillas especiales'!N18</f>
        <v>1958</v>
      </c>
      <c r="V16" s="36">
        <f t="shared" si="11"/>
        <v>0.03568174363086343</v>
      </c>
      <c r="W16" s="37">
        <f t="shared" si="0"/>
        <v>54874</v>
      </c>
      <c r="X16" s="56">
        <v>0</v>
      </c>
      <c r="Y16" s="56">
        <v>91838</v>
      </c>
      <c r="Z16" s="106">
        <f t="shared" si="1"/>
        <v>0.5975086565473987</v>
      </c>
    </row>
    <row r="17" spans="1:26" ht="12.75">
      <c r="A17" s="28">
        <v>10</v>
      </c>
      <c r="B17" s="29" t="s">
        <v>19</v>
      </c>
      <c r="C17" s="35">
        <f>'Mayoría relativa'!C17+'casillas especiales'!E19+'casillas especiales'!E20</f>
        <v>11016</v>
      </c>
      <c r="D17" s="36">
        <f t="shared" si="2"/>
        <v>0.22588582677165353</v>
      </c>
      <c r="E17" s="115">
        <f>'Mayoría relativa'!E17+'casillas especiales'!F19+'casillas especiales'!F20</f>
        <v>22278</v>
      </c>
      <c r="F17" s="116">
        <f t="shared" si="3"/>
        <v>0.45681594488188976</v>
      </c>
      <c r="G17" s="37">
        <f>'Mayoría relativa'!G17+'casillas especiales'!G19+'casillas especiales'!G20</f>
        <v>9777</v>
      </c>
      <c r="H17" s="36">
        <f t="shared" si="4"/>
        <v>0.20047982283464566</v>
      </c>
      <c r="I17" s="37">
        <f>'Mayoría relativa'!I17+'casillas especiales'!H19+'casillas especiales'!H20</f>
        <v>2972</v>
      </c>
      <c r="J17" s="36">
        <f t="shared" si="5"/>
        <v>0.06094160104986877</v>
      </c>
      <c r="K17" s="37">
        <f>'Mayoría relativa'!K17+'casillas especiales'!I19+'casillas especiales'!I20</f>
        <v>140</v>
      </c>
      <c r="L17" s="36">
        <f t="shared" si="6"/>
        <v>0.002870734908136483</v>
      </c>
      <c r="M17" s="37">
        <f>'Mayoría relativa'!M17+'casillas especiales'!J19+'casillas especiales'!J20</f>
        <v>224</v>
      </c>
      <c r="N17" s="36">
        <f t="shared" si="7"/>
        <v>0.004593175853018373</v>
      </c>
      <c r="O17" s="37">
        <f>'Mayoría relativa'!O17+'casillas especiales'!K19+'casillas especiales'!K20</f>
        <v>105</v>
      </c>
      <c r="P17" s="36">
        <f t="shared" si="8"/>
        <v>0.0021530511811023623</v>
      </c>
      <c r="Q17" s="37">
        <f>'Mayoría relativa'!Q17+'casillas especiales'!L19+'casillas especiales'!L20</f>
        <v>212</v>
      </c>
      <c r="R17" s="36">
        <f t="shared" si="9"/>
        <v>0.004347112860892389</v>
      </c>
      <c r="S17" s="37">
        <f>'Mayoría relativa'!S17+'casillas especiales'!M19+'casillas especiales'!M20</f>
        <v>31</v>
      </c>
      <c r="T17" s="36">
        <f t="shared" si="10"/>
        <v>0.0006356627296587926</v>
      </c>
      <c r="U17" s="37">
        <f>'Mayoría relativa'!U17+'casillas especiales'!N19+'casillas especiales'!N20</f>
        <v>2013</v>
      </c>
      <c r="V17" s="36">
        <f t="shared" si="11"/>
        <v>0.04127706692913386</v>
      </c>
      <c r="W17" s="37">
        <f t="shared" si="0"/>
        <v>48768</v>
      </c>
      <c r="X17" s="56">
        <v>0</v>
      </c>
      <c r="Y17" s="56">
        <v>78133</v>
      </c>
      <c r="Z17" s="106">
        <f t="shared" si="1"/>
        <v>0.6241664853519</v>
      </c>
    </row>
    <row r="18" spans="1:26" ht="12.75">
      <c r="A18" s="28">
        <v>11</v>
      </c>
      <c r="B18" s="29" t="s">
        <v>20</v>
      </c>
      <c r="C18" s="35">
        <f>'Mayoría relativa'!C18+'casillas especiales'!E21</f>
        <v>5489</v>
      </c>
      <c r="D18" s="36">
        <f t="shared" si="2"/>
        <v>0.18544545423831887</v>
      </c>
      <c r="E18" s="115">
        <f>'Mayoría relativa'!E18+'casillas especiales'!F21</f>
        <v>10457</v>
      </c>
      <c r="F18" s="116">
        <f t="shared" si="3"/>
        <v>0.3532889624649481</v>
      </c>
      <c r="G18" s="37">
        <f>'Mayoría relativa'!G18+'casillas especiales'!G21</f>
        <v>10143</v>
      </c>
      <c r="H18" s="36">
        <f t="shared" si="4"/>
        <v>0.34268049596270145</v>
      </c>
      <c r="I18" s="37">
        <f>'Mayoría relativa'!I18+'casillas especiales'!H21</f>
        <v>2186</v>
      </c>
      <c r="J18" s="36">
        <f t="shared" si="5"/>
        <v>0.07385384641373019</v>
      </c>
      <c r="K18" s="37">
        <f>'Mayoría relativa'!K18+'casillas especiales'!I21</f>
        <v>18</v>
      </c>
      <c r="L18" s="36">
        <f t="shared" si="6"/>
        <v>0.0006081286529950336</v>
      </c>
      <c r="M18" s="37">
        <f>'Mayoría relativa'!M18+'casillas especiales'!J21</f>
        <v>50</v>
      </c>
      <c r="N18" s="36">
        <f t="shared" si="7"/>
        <v>0.0016892462583195378</v>
      </c>
      <c r="O18" s="37">
        <f>'Mayoría relativa'!O18+'casillas especiales'!K21</f>
        <v>59</v>
      </c>
      <c r="P18" s="36">
        <f t="shared" si="8"/>
        <v>0.0019933105848170545</v>
      </c>
      <c r="Q18" s="37">
        <f>'Mayoría relativa'!Q18+'casillas especiales'!L21</f>
        <v>15</v>
      </c>
      <c r="R18" s="36">
        <f t="shared" si="9"/>
        <v>0.0005067738774958613</v>
      </c>
      <c r="S18" s="37">
        <f>'Mayoría relativa'!S18+'casillas especiales'!M21</f>
        <v>9</v>
      </c>
      <c r="T18" s="36">
        <f t="shared" si="10"/>
        <v>0.0003040643264975168</v>
      </c>
      <c r="U18" s="37">
        <f>'Mayoría relativa'!U18+'casillas especiales'!N21</f>
        <v>1173</v>
      </c>
      <c r="V18" s="36">
        <f t="shared" si="11"/>
        <v>0.03962971722017636</v>
      </c>
      <c r="W18" s="37">
        <f t="shared" si="0"/>
        <v>29599</v>
      </c>
      <c r="X18" s="56">
        <v>0</v>
      </c>
      <c r="Y18" s="56">
        <v>47700</v>
      </c>
      <c r="Z18" s="106">
        <f t="shared" si="1"/>
        <v>0.620524109014675</v>
      </c>
    </row>
    <row r="19" spans="1:26" ht="12.75">
      <c r="A19" s="28">
        <v>12</v>
      </c>
      <c r="B19" s="29" t="s">
        <v>21</v>
      </c>
      <c r="C19" s="35">
        <f>'Mayoría relativa'!C19+'casillas especiales'!E22</f>
        <v>12989</v>
      </c>
      <c r="D19" s="36">
        <f t="shared" si="2"/>
        <v>0.25319194557610963</v>
      </c>
      <c r="E19" s="115">
        <f>'Mayoría relativa'!E19+'casillas especiales'!F22</f>
        <v>19397</v>
      </c>
      <c r="F19" s="116">
        <f t="shared" si="3"/>
        <v>0.3781017913880821</v>
      </c>
      <c r="G19" s="37">
        <f>'Mayoría relativa'!G19+'casillas especiales'!G22</f>
        <v>7703</v>
      </c>
      <c r="H19" s="36">
        <f t="shared" si="4"/>
        <v>0.15015301845967916</v>
      </c>
      <c r="I19" s="37">
        <f>'Mayoría relativa'!I19+'casillas especiales'!H22</f>
        <v>866</v>
      </c>
      <c r="J19" s="36">
        <f t="shared" si="5"/>
        <v>0.016880762558234733</v>
      </c>
      <c r="K19" s="37">
        <f>'Mayoría relativa'!K19+'casillas especiales'!I22</f>
        <v>362</v>
      </c>
      <c r="L19" s="36">
        <f t="shared" si="6"/>
        <v>0.007056392662911054</v>
      </c>
      <c r="M19" s="37">
        <f>'Mayoría relativa'!M19+'casillas especiales'!J22</f>
        <v>3279</v>
      </c>
      <c r="N19" s="36">
        <f t="shared" si="7"/>
        <v>0.06391688271183797</v>
      </c>
      <c r="O19" s="37">
        <f>'Mayoría relativa'!O19+'casillas especiales'!K22</f>
        <v>457</v>
      </c>
      <c r="P19" s="36">
        <f t="shared" si="8"/>
        <v>0.008908208416989923</v>
      </c>
      <c r="Q19" s="37">
        <f>'Mayoría relativa'!Q19+'casillas especiales'!L22</f>
        <v>2448</v>
      </c>
      <c r="R19" s="36">
        <f t="shared" si="9"/>
        <v>0.04771836806300072</v>
      </c>
      <c r="S19" s="37">
        <f>'Mayoría relativa'!S19+'casillas especiales'!M22</f>
        <v>303</v>
      </c>
      <c r="T19" s="36">
        <f t="shared" si="10"/>
        <v>0.00590631761564102</v>
      </c>
      <c r="U19" s="37">
        <f>'Mayoría relativa'!U19+'casillas especiales'!N22</f>
        <v>3497</v>
      </c>
      <c r="V19" s="36">
        <f t="shared" si="11"/>
        <v>0.0681663125475137</v>
      </c>
      <c r="W19" s="37">
        <f t="shared" si="0"/>
        <v>51301</v>
      </c>
      <c r="X19" s="56">
        <v>0</v>
      </c>
      <c r="Y19" s="56">
        <v>98436</v>
      </c>
      <c r="Z19" s="106">
        <f t="shared" si="1"/>
        <v>0.5211609573733187</v>
      </c>
    </row>
    <row r="20" spans="1:26" ht="12.75">
      <c r="A20" s="28">
        <v>13</v>
      </c>
      <c r="B20" s="29" t="s">
        <v>22</v>
      </c>
      <c r="C20" s="35">
        <f>'Mayoría relativa'!C20+'casillas especiales'!E23</f>
        <v>21223</v>
      </c>
      <c r="D20" s="36">
        <f t="shared" si="2"/>
        <v>0.2707429708628872</v>
      </c>
      <c r="E20" s="115">
        <f>'Mayoría relativa'!E20+'casillas especiales'!F23</f>
        <v>41065</v>
      </c>
      <c r="F20" s="116">
        <f t="shared" si="3"/>
        <v>0.5238684492524366</v>
      </c>
      <c r="G20" s="37">
        <f>'Mayoría relativa'!G20+'casillas especiales'!G23</f>
        <v>9840</v>
      </c>
      <c r="H20" s="36">
        <f t="shared" si="4"/>
        <v>0.12552941776802573</v>
      </c>
      <c r="I20" s="37">
        <f>'Mayoría relativa'!I20+'casillas especiales'!H23</f>
        <v>2131</v>
      </c>
      <c r="J20" s="36">
        <f t="shared" si="5"/>
        <v>0.02718528346175435</v>
      </c>
      <c r="K20" s="37">
        <f>'Mayoría relativa'!K20+'casillas especiales'!I23</f>
        <v>209</v>
      </c>
      <c r="L20" s="36">
        <f t="shared" si="6"/>
        <v>0.0026662244221054244</v>
      </c>
      <c r="M20" s="37">
        <f>'Mayoría relativa'!M20+'casillas especiales'!J23</f>
        <v>243</v>
      </c>
      <c r="N20" s="36">
        <f t="shared" si="7"/>
        <v>0.0030999642802469764</v>
      </c>
      <c r="O20" s="37">
        <f>'Mayoría relativa'!O20+'casillas especiales'!K23</f>
        <v>179</v>
      </c>
      <c r="P20" s="36">
        <f t="shared" si="8"/>
        <v>0.0022835127825687604</v>
      </c>
      <c r="Q20" s="37">
        <f>'Mayoría relativa'!Q20+'casillas especiales'!L23</f>
        <v>201</v>
      </c>
      <c r="R20" s="36">
        <f t="shared" si="9"/>
        <v>0.0025641679848956473</v>
      </c>
      <c r="S20" s="37">
        <f>'Mayoría relativa'!S20+'casillas especiales'!M23</f>
        <v>30</v>
      </c>
      <c r="T20" s="36">
        <f t="shared" si="10"/>
        <v>0.0003827116395366638</v>
      </c>
      <c r="U20" s="37">
        <f>'Mayoría relativa'!U20+'casillas especiales'!N23</f>
        <v>3267</v>
      </c>
      <c r="V20" s="36">
        <f t="shared" si="11"/>
        <v>0.04167729754554268</v>
      </c>
      <c r="W20" s="37">
        <f t="shared" si="0"/>
        <v>78388</v>
      </c>
      <c r="X20" s="56">
        <v>0</v>
      </c>
      <c r="Y20" s="56">
        <v>138042</v>
      </c>
      <c r="Z20" s="106">
        <f t="shared" si="1"/>
        <v>0.5678561597195056</v>
      </c>
    </row>
    <row r="21" spans="1:26" ht="12.75">
      <c r="A21" s="28">
        <v>14</v>
      </c>
      <c r="B21" s="29" t="s">
        <v>23</v>
      </c>
      <c r="C21" s="35">
        <f>'Mayoría relativa'!C21+'casillas especiales'!E24</f>
        <v>16030</v>
      </c>
      <c r="D21" s="36">
        <f t="shared" si="2"/>
        <v>0.3618918613839034</v>
      </c>
      <c r="E21" s="115">
        <f>'Mayoría relativa'!E21+'casillas especiales'!F24</f>
        <v>23101</v>
      </c>
      <c r="F21" s="116">
        <f t="shared" si="3"/>
        <v>0.521526131617564</v>
      </c>
      <c r="G21" s="37">
        <f>'Mayoría relativa'!G21+'casillas especiales'!G24</f>
        <v>2382</v>
      </c>
      <c r="H21" s="36">
        <f t="shared" si="4"/>
        <v>0.0537758211987809</v>
      </c>
      <c r="I21" s="37">
        <f>'Mayoría relativa'!I21+'casillas especiales'!H24</f>
        <v>1195</v>
      </c>
      <c r="J21" s="36">
        <f t="shared" si="5"/>
        <v>0.02697821424540016</v>
      </c>
      <c r="K21" s="37">
        <f>'Mayoría relativa'!K21+'casillas especiales'!I24</f>
        <v>48</v>
      </c>
      <c r="L21" s="36">
        <f t="shared" si="6"/>
        <v>0.0010836437521164917</v>
      </c>
      <c r="M21" s="37">
        <f>'Mayoría relativa'!M21+'casillas especiales'!J24</f>
        <v>74</v>
      </c>
      <c r="N21" s="36">
        <f t="shared" si="7"/>
        <v>0.0016706174511795914</v>
      </c>
      <c r="O21" s="37">
        <f>'Mayoría relativa'!O21+'casillas especiales'!K24</f>
        <v>112</v>
      </c>
      <c r="P21" s="36">
        <f t="shared" si="8"/>
        <v>0.002528502088271814</v>
      </c>
      <c r="Q21" s="37">
        <f>'Mayoría relativa'!Q21+'casillas especiales'!L24</f>
        <v>150</v>
      </c>
      <c r="R21" s="36">
        <f t="shared" si="9"/>
        <v>0.0033863867253640365</v>
      </c>
      <c r="S21" s="37">
        <f>'Mayoría relativa'!S21+'casillas especiales'!M24</f>
        <v>8</v>
      </c>
      <c r="T21" s="36">
        <f t="shared" si="10"/>
        <v>0.0001806072920194153</v>
      </c>
      <c r="U21" s="37">
        <f>'Mayoría relativa'!U21+'casillas especiales'!N24</f>
        <v>1195</v>
      </c>
      <c r="V21" s="36">
        <f t="shared" si="11"/>
        <v>0.02697821424540016</v>
      </c>
      <c r="W21" s="37">
        <f t="shared" si="0"/>
        <v>44295</v>
      </c>
      <c r="X21" s="56">
        <v>0</v>
      </c>
      <c r="Y21" s="56">
        <v>65983</v>
      </c>
      <c r="Z21" s="106">
        <f t="shared" si="1"/>
        <v>0.6713092766318597</v>
      </c>
    </row>
    <row r="22" spans="1:26" ht="15">
      <c r="A22" s="28">
        <v>15</v>
      </c>
      <c r="B22" s="29" t="s">
        <v>60</v>
      </c>
      <c r="C22" s="35">
        <f>'Mayoría relativa'!C22+'casillas especiales'!E25</f>
        <v>12681</v>
      </c>
      <c r="D22" s="36">
        <f t="shared" si="2"/>
        <v>0.19358532042866303</v>
      </c>
      <c r="E22" s="115">
        <f>'Mayoría relativa'!E22+'casillas especiales'!F25</f>
        <v>28024</v>
      </c>
      <c r="F22" s="116">
        <f t="shared" si="3"/>
        <v>0.42780813971239273</v>
      </c>
      <c r="G22" s="37">
        <f>'Mayoría relativa'!G22+'casillas especiales'!G25</f>
        <v>4123</v>
      </c>
      <c r="H22" s="36">
        <f t="shared" si="4"/>
        <v>0.06294079931609319</v>
      </c>
      <c r="I22" s="37">
        <f>'Mayoría relativa'!I22+'casillas especiales'!H25</f>
        <v>634</v>
      </c>
      <c r="J22" s="36">
        <f t="shared" si="5"/>
        <v>0.009678502732574115</v>
      </c>
      <c r="K22" s="37">
        <f>'Mayoría relativa'!K22+'casillas especiales'!I25</f>
        <v>16055</v>
      </c>
      <c r="L22" s="36">
        <f t="shared" si="6"/>
        <v>0.24509205263639972</v>
      </c>
      <c r="M22" s="37">
        <f>'Mayoría relativa'!M22+'casillas especiales'!J25</f>
        <v>287</v>
      </c>
      <c r="N22" s="36">
        <f t="shared" si="7"/>
        <v>0.004381278050865569</v>
      </c>
      <c r="O22" s="37">
        <f>'Mayoría relativa'!O22+'casillas especiales'!K25</f>
        <v>282</v>
      </c>
      <c r="P22" s="36">
        <f t="shared" si="8"/>
        <v>0.004304949164961988</v>
      </c>
      <c r="Q22" s="37">
        <f>'Mayoría relativa'!Q22+'casillas especiales'!L25</f>
        <v>348</v>
      </c>
      <c r="R22" s="36">
        <f t="shared" si="9"/>
        <v>0.005312490458889262</v>
      </c>
      <c r="S22" s="37">
        <f>'Mayoría relativa'!S22+'casillas especiales'!M25</f>
        <v>22</v>
      </c>
      <c r="T22" s="36">
        <f t="shared" si="10"/>
        <v>0.00033584709797575794</v>
      </c>
      <c r="U22" s="37">
        <f>'Mayoría relativa'!U22+'casillas especiales'!N25</f>
        <v>3050</v>
      </c>
      <c r="V22" s="36">
        <f t="shared" si="11"/>
        <v>0.046560620401184624</v>
      </c>
      <c r="W22" s="37">
        <f t="shared" si="0"/>
        <v>65506</v>
      </c>
      <c r="X22" s="56">
        <f>'Casillas anuladas TEEM'!O23</f>
        <v>60</v>
      </c>
      <c r="Y22" s="56">
        <v>113576</v>
      </c>
      <c r="Z22" s="106">
        <f t="shared" si="1"/>
        <v>0.5772874550961471</v>
      </c>
    </row>
    <row r="23" spans="1:26" ht="12.75">
      <c r="A23" s="28">
        <v>16</v>
      </c>
      <c r="B23" s="29" t="s">
        <v>25</v>
      </c>
      <c r="C23" s="111">
        <f>'Mayoría relativa'!C23+'casillas especiales'!E26</f>
        <v>50442</v>
      </c>
      <c r="D23" s="112">
        <f t="shared" si="2"/>
        <v>0.4443406946732323</v>
      </c>
      <c r="E23" s="37">
        <f>'Mayoría relativa'!E23+'casillas especiales'!F26</f>
        <v>34342</v>
      </c>
      <c r="F23" s="36">
        <f t="shared" si="3"/>
        <v>0.3025167149690366</v>
      </c>
      <c r="G23" s="37">
        <f>'Mayoría relativa'!G23+'casillas especiales'!G26</f>
        <v>18641</v>
      </c>
      <c r="H23" s="36">
        <f t="shared" si="4"/>
        <v>0.16420750345751006</v>
      </c>
      <c r="I23" s="37">
        <f>'Mayoría relativa'!I23+'casillas especiales'!H26</f>
        <v>1482</v>
      </c>
      <c r="J23" s="36">
        <f t="shared" si="5"/>
        <v>0.01305485328705702</v>
      </c>
      <c r="K23" s="37">
        <f>'Mayoría relativa'!K23+'casillas especiales'!I26</f>
        <v>1934</v>
      </c>
      <c r="L23" s="36">
        <f t="shared" si="6"/>
        <v>0.017036495450181023</v>
      </c>
      <c r="M23" s="37">
        <f>'Mayoría relativa'!M23+'casillas especiales'!J26</f>
        <v>529</v>
      </c>
      <c r="N23" s="36">
        <f t="shared" si="7"/>
        <v>0.004659930761709287</v>
      </c>
      <c r="O23" s="37">
        <f>'Mayoría relativa'!O23+'casillas especiales'!K26</f>
        <v>2605</v>
      </c>
      <c r="P23" s="36">
        <f t="shared" si="8"/>
        <v>0.02294729609499564</v>
      </c>
      <c r="Q23" s="37">
        <f>'Mayoría relativa'!Q23+'casillas especiales'!L26</f>
        <v>745</v>
      </c>
      <c r="R23" s="36">
        <f t="shared" si="9"/>
        <v>0.00656266241488359</v>
      </c>
      <c r="S23" s="37">
        <f>'Mayoría relativa'!S23+'casillas especiales'!M26</f>
        <v>25</v>
      </c>
      <c r="T23" s="36">
        <f t="shared" si="10"/>
        <v>0.00022022357096924798</v>
      </c>
      <c r="U23" s="37">
        <f>'Mayoría relativa'!U23+'casillas especiales'!N26</f>
        <v>2776</v>
      </c>
      <c r="V23" s="36">
        <f t="shared" si="11"/>
        <v>0.024453625320425297</v>
      </c>
      <c r="W23" s="37">
        <f t="shared" si="0"/>
        <v>113521</v>
      </c>
      <c r="X23" s="56">
        <v>0</v>
      </c>
      <c r="Y23" s="56">
        <v>306667</v>
      </c>
      <c r="Z23" s="106">
        <f t="shared" si="1"/>
        <v>0.37017677154698747</v>
      </c>
    </row>
    <row r="24" spans="1:26" ht="12.75">
      <c r="A24" s="28">
        <v>17</v>
      </c>
      <c r="B24" s="29" t="s">
        <v>26</v>
      </c>
      <c r="C24" s="35">
        <f>'Mayoría relativa'!C24+'casillas especiales'!E27</f>
        <v>19092</v>
      </c>
      <c r="D24" s="36">
        <f t="shared" si="2"/>
        <v>0.3106208512299883</v>
      </c>
      <c r="E24" s="115">
        <f>'Mayoría relativa'!E24+'casillas especiales'!F27</f>
        <v>20679</v>
      </c>
      <c r="F24" s="116">
        <f t="shared" si="3"/>
        <v>0.33644084342053887</v>
      </c>
      <c r="G24" s="37">
        <f>'Mayoría relativa'!G24+'casillas especiales'!G27</f>
        <v>15234</v>
      </c>
      <c r="H24" s="36">
        <f t="shared" si="4"/>
        <v>0.2478524014057009</v>
      </c>
      <c r="I24" s="37">
        <f>'Mayoría relativa'!I24+'casillas especiales'!H27</f>
        <v>1185</v>
      </c>
      <c r="J24" s="36">
        <f t="shared" si="5"/>
        <v>0.019279578289730575</v>
      </c>
      <c r="K24" s="37">
        <f>'Mayoría relativa'!K24+'casillas especiales'!I27</f>
        <v>1870</v>
      </c>
      <c r="L24" s="36">
        <f t="shared" si="6"/>
        <v>0.03042431341923728</v>
      </c>
      <c r="M24" s="37">
        <f>'Mayoría relativa'!M24+'casillas especiales'!J27</f>
        <v>290</v>
      </c>
      <c r="N24" s="36">
        <f t="shared" si="7"/>
        <v>0.004718209032929845</v>
      </c>
      <c r="O24" s="37">
        <f>'Mayoría relativa'!O24+'casillas especiales'!K27</f>
        <v>384</v>
      </c>
      <c r="P24" s="36">
        <f t="shared" si="8"/>
        <v>0.006247559547051933</v>
      </c>
      <c r="Q24" s="37">
        <f>'Mayoría relativa'!Q24+'casillas especiales'!L27</f>
        <v>1276</v>
      </c>
      <c r="R24" s="36">
        <f t="shared" si="9"/>
        <v>0.02076011974489132</v>
      </c>
      <c r="S24" s="37">
        <f>'Mayoría relativa'!S24+'casillas especiales'!M27</f>
        <v>7</v>
      </c>
      <c r="T24" s="36">
        <f t="shared" si="10"/>
        <v>0.0001138878042431342</v>
      </c>
      <c r="U24" s="37">
        <f>'Mayoría relativa'!U24+'casillas especiales'!N27</f>
        <v>1447</v>
      </c>
      <c r="V24" s="36">
        <f t="shared" si="11"/>
        <v>0.023542236105687883</v>
      </c>
      <c r="W24" s="37">
        <f t="shared" si="0"/>
        <v>61464</v>
      </c>
      <c r="X24" s="56">
        <v>0</v>
      </c>
      <c r="Y24" s="56">
        <v>148260</v>
      </c>
      <c r="Z24" s="106">
        <f t="shared" si="1"/>
        <v>0.41456900040469447</v>
      </c>
    </row>
    <row r="25" spans="1:26" ht="12.75">
      <c r="A25" s="28">
        <v>18</v>
      </c>
      <c r="B25" s="29" t="s">
        <v>48</v>
      </c>
      <c r="C25" s="111">
        <f>'Mayoría relativa'!C25+'casillas especiales'!E28</f>
        <v>59992</v>
      </c>
      <c r="D25" s="112">
        <f t="shared" si="2"/>
        <v>0.5753745228550055</v>
      </c>
      <c r="E25" s="37">
        <f>'Mayoría relativa'!E25+'casillas especiales'!F28</f>
        <v>20157</v>
      </c>
      <c r="F25" s="36">
        <f t="shared" si="3"/>
        <v>0.19332284733278346</v>
      </c>
      <c r="G25" s="37">
        <f>'Mayoría relativa'!G25+'casillas especiales'!G28</f>
        <v>18163</v>
      </c>
      <c r="H25" s="36">
        <f t="shared" si="4"/>
        <v>0.17419868413480905</v>
      </c>
      <c r="I25" s="37">
        <f>'Mayoría relativa'!I25+'casillas especiales'!H28</f>
        <v>1351</v>
      </c>
      <c r="J25" s="36">
        <f t="shared" si="5"/>
        <v>0.012957243972148159</v>
      </c>
      <c r="K25" s="37">
        <f>'Mayoría relativa'!K25+'casillas especiales'!I28</f>
        <v>1308</v>
      </c>
      <c r="L25" s="36">
        <f t="shared" si="6"/>
        <v>0.01254483724320488</v>
      </c>
      <c r="M25" s="37">
        <f>'Mayoría relativa'!M25+'casillas especiales'!J28</f>
        <v>365</v>
      </c>
      <c r="N25" s="36">
        <f t="shared" si="7"/>
        <v>0.0035006617689371414</v>
      </c>
      <c r="O25" s="37">
        <f>'Mayoría relativa'!O25+'casillas especiales'!K28</f>
        <v>354</v>
      </c>
      <c r="P25" s="36">
        <f t="shared" si="8"/>
        <v>0.0033951623731609537</v>
      </c>
      <c r="Q25" s="37">
        <f>'Mayoría relativa'!Q25+'casillas especiales'!L28</f>
        <v>446</v>
      </c>
      <c r="R25" s="36">
        <f t="shared" si="9"/>
        <v>0.004277520956016342</v>
      </c>
      <c r="S25" s="37">
        <f>'Mayoría relativa'!S25+'casillas especiales'!M28</f>
        <v>16</v>
      </c>
      <c r="T25" s="36">
        <f t="shared" si="10"/>
        <v>0.00015345366658354594</v>
      </c>
      <c r="U25" s="37">
        <f>'Mayoría relativa'!U25+'casillas especiales'!N28</f>
        <v>2114</v>
      </c>
      <c r="V25" s="36">
        <f t="shared" si="11"/>
        <v>0.020275065697351005</v>
      </c>
      <c r="W25" s="37">
        <f t="shared" si="0"/>
        <v>104266</v>
      </c>
      <c r="X25" s="56">
        <v>0</v>
      </c>
      <c r="Y25" s="56">
        <v>253533</v>
      </c>
      <c r="Z25" s="106">
        <f t="shared" si="1"/>
        <v>0.41125218413382086</v>
      </c>
    </row>
    <row r="26" spans="1:26" ht="12.75">
      <c r="A26" s="28">
        <v>19</v>
      </c>
      <c r="B26" s="29" t="s">
        <v>27</v>
      </c>
      <c r="C26" s="35">
        <f>'Mayoría relativa'!C26+'casillas especiales'!E29</f>
        <v>22429</v>
      </c>
      <c r="D26" s="36">
        <f t="shared" si="2"/>
        <v>0.30873102176217154</v>
      </c>
      <c r="E26" s="115">
        <f>'Mayoría relativa'!E26+'casillas especiales'!F29</f>
        <v>24002</v>
      </c>
      <c r="F26" s="116">
        <f t="shared" si="3"/>
        <v>0.3303830747842365</v>
      </c>
      <c r="G26" s="37">
        <f>'Mayoría relativa'!G26+'casillas especiales'!G29</f>
        <v>16107</v>
      </c>
      <c r="H26" s="36">
        <f t="shared" si="4"/>
        <v>0.22170986524246722</v>
      </c>
      <c r="I26" s="37">
        <f>'Mayoría relativa'!I26+'casillas especiales'!H29</f>
        <v>3971</v>
      </c>
      <c r="J26" s="36">
        <f t="shared" si="5"/>
        <v>0.0546600779088494</v>
      </c>
      <c r="K26" s="37">
        <f>'Mayoría relativa'!K26+'casillas especiales'!I29</f>
        <v>3144</v>
      </c>
      <c r="L26" s="36">
        <f t="shared" si="6"/>
        <v>0.04327657641536704</v>
      </c>
      <c r="M26" s="37">
        <f>'Mayoría relativa'!M26+'casillas especiales'!J29</f>
        <v>595</v>
      </c>
      <c r="N26" s="36">
        <f t="shared" si="7"/>
        <v>0.008190064556979449</v>
      </c>
      <c r="O26" s="37">
        <f>'Mayoría relativa'!O26+'casillas especiales'!K29</f>
        <v>258</v>
      </c>
      <c r="P26" s="36">
        <f t="shared" si="8"/>
        <v>0.003551322110421341</v>
      </c>
      <c r="Q26" s="37">
        <f>'Mayoría relativa'!Q26+'casillas especiales'!L29</f>
        <v>499</v>
      </c>
      <c r="R26" s="36">
        <f t="shared" si="9"/>
        <v>0.006868642376357555</v>
      </c>
      <c r="S26" s="37">
        <f>'Mayoría relativa'!S26+'casillas especiales'!M29</f>
        <v>21</v>
      </c>
      <c r="T26" s="36">
        <f t="shared" si="10"/>
        <v>0.0002890611020110394</v>
      </c>
      <c r="U26" s="37">
        <f>'Mayoría relativa'!U26+'casillas especiales'!N29</f>
        <v>1623</v>
      </c>
      <c r="V26" s="36">
        <f t="shared" si="11"/>
        <v>0.0223402937411389</v>
      </c>
      <c r="W26" s="37">
        <f t="shared" si="0"/>
        <v>72649</v>
      </c>
      <c r="X26" s="56">
        <v>0</v>
      </c>
      <c r="Y26" s="56">
        <v>160601</v>
      </c>
      <c r="Z26" s="106">
        <f t="shared" si="1"/>
        <v>0.4523570837043356</v>
      </c>
    </row>
    <row r="27" spans="1:26" ht="12.75">
      <c r="A27" s="28">
        <v>20</v>
      </c>
      <c r="B27" s="29" t="s">
        <v>28</v>
      </c>
      <c r="C27" s="35">
        <f>'Mayoría relativa'!C27+'casillas especiales'!E30</f>
        <v>16024</v>
      </c>
      <c r="D27" s="36">
        <f t="shared" si="2"/>
        <v>0.22501825535022188</v>
      </c>
      <c r="E27" s="115">
        <f>'Mayoría relativa'!E27+'casillas especiales'!F30</f>
        <v>34141</v>
      </c>
      <c r="F27" s="116">
        <f t="shared" si="3"/>
        <v>0.4794276245576588</v>
      </c>
      <c r="G27" s="37">
        <f>'Mayoría relativa'!G27+'casillas especiales'!G30</f>
        <v>16362</v>
      </c>
      <c r="H27" s="36">
        <f t="shared" si="4"/>
        <v>0.22976464640790878</v>
      </c>
      <c r="I27" s="37">
        <f>'Mayoría relativa'!I27+'casillas especiales'!H30</f>
        <v>1037</v>
      </c>
      <c r="J27" s="36">
        <f t="shared" si="5"/>
        <v>0.01456215244621693</v>
      </c>
      <c r="K27" s="37">
        <f>'Mayoría relativa'!K27+'casillas especiales'!I30</f>
        <v>783</v>
      </c>
      <c r="L27" s="36">
        <f t="shared" si="6"/>
        <v>0.010995337864404875</v>
      </c>
      <c r="M27" s="37">
        <f>'Mayoría relativa'!M27+'casillas especiales'!J30</f>
        <v>333</v>
      </c>
      <c r="N27" s="36">
        <f t="shared" si="7"/>
        <v>0.0046761781722181655</v>
      </c>
      <c r="O27" s="37">
        <f>'Mayoría relativa'!O27+'casillas especiales'!K30</f>
        <v>508</v>
      </c>
      <c r="P27" s="36">
        <f t="shared" si="8"/>
        <v>0.007133629163624108</v>
      </c>
      <c r="Q27" s="37">
        <f>'Mayoría relativa'!Q27+'casillas especiales'!L30</f>
        <v>556</v>
      </c>
      <c r="R27" s="36">
        <f t="shared" si="9"/>
        <v>0.007807672864124024</v>
      </c>
      <c r="S27" s="37">
        <f>'Mayoría relativa'!S27+'casillas especiales'!M30</f>
        <v>10</v>
      </c>
      <c r="T27" s="36">
        <f t="shared" si="10"/>
        <v>0.00014042577093748246</v>
      </c>
      <c r="U27" s="37">
        <f>'Mayoría relativa'!U27+'casillas especiales'!N30</f>
        <v>1458</v>
      </c>
      <c r="V27" s="36">
        <f t="shared" si="11"/>
        <v>0.02047407740268494</v>
      </c>
      <c r="W27" s="37">
        <f t="shared" si="0"/>
        <v>71212</v>
      </c>
      <c r="X27" s="56">
        <v>0</v>
      </c>
      <c r="Y27" s="56">
        <v>142656</v>
      </c>
      <c r="Z27" s="106">
        <f t="shared" si="1"/>
        <v>0.4991868550919695</v>
      </c>
    </row>
    <row r="28" spans="1:26" ht="15">
      <c r="A28" s="28">
        <v>21</v>
      </c>
      <c r="B28" s="29" t="s">
        <v>72</v>
      </c>
      <c r="C28" s="35">
        <f>'Mayoría relativa'!C28+'casillas especiales'!E31</f>
        <v>31054</v>
      </c>
      <c r="D28" s="36">
        <f t="shared" si="2"/>
        <v>0.296246124493203</v>
      </c>
      <c r="E28" s="115">
        <f>'Mayoría relativa'!E28+'casillas especiales'!F31</f>
        <v>38480</v>
      </c>
      <c r="F28" s="116">
        <f t="shared" si="3"/>
        <v>0.36708800381588363</v>
      </c>
      <c r="G28" s="37">
        <f>'Mayoría relativa'!G28+'casillas especiales'!G31</f>
        <v>26391</v>
      </c>
      <c r="H28" s="36">
        <f t="shared" si="4"/>
        <v>0.251762461244932</v>
      </c>
      <c r="I28" s="37">
        <f>'Mayoría relativa'!I28+'casillas especiales'!H31</f>
        <v>2167</v>
      </c>
      <c r="J28" s="36">
        <f t="shared" si="5"/>
        <v>0.02067254948724064</v>
      </c>
      <c r="K28" s="37">
        <f>'Mayoría relativa'!K28+'casillas especiales'!I31</f>
        <v>469</v>
      </c>
      <c r="L28" s="36">
        <f t="shared" si="6"/>
        <v>0.004474123539232053</v>
      </c>
      <c r="M28" s="37">
        <f>'Mayoría relativa'!M28+'casillas especiales'!J31</f>
        <v>840</v>
      </c>
      <c r="N28" s="36">
        <f t="shared" si="7"/>
        <v>0.008013355592654424</v>
      </c>
      <c r="O28" s="37">
        <f>'Mayoría relativa'!O28+'casillas especiales'!K31</f>
        <v>455</v>
      </c>
      <c r="P28" s="36">
        <f t="shared" si="8"/>
        <v>0.004340567612687813</v>
      </c>
      <c r="Q28" s="37">
        <f>'Mayoría relativa'!Q28+'casillas especiales'!L31</f>
        <v>1574</v>
      </c>
      <c r="R28" s="36">
        <f t="shared" si="9"/>
        <v>0.01501550202718817</v>
      </c>
      <c r="S28" s="37">
        <f>'Mayoría relativa'!S28+'casillas especiales'!M31</f>
        <v>240</v>
      </c>
      <c r="T28" s="36">
        <f t="shared" si="10"/>
        <v>0.0022895301693298354</v>
      </c>
      <c r="U28" s="37">
        <f>'Mayoría relativa'!U28+'casillas especiales'!N31</f>
        <v>3155</v>
      </c>
      <c r="V28" s="36">
        <f t="shared" si="11"/>
        <v>0.030097782017648463</v>
      </c>
      <c r="W28" s="37">
        <f t="shared" si="0"/>
        <v>104825</v>
      </c>
      <c r="X28" s="56">
        <f>'Casillas anuladas TEEM'!O45</f>
        <v>3325</v>
      </c>
      <c r="Y28" s="56">
        <v>306871</v>
      </c>
      <c r="Z28" s="106">
        <f t="shared" si="1"/>
        <v>0.3524282190236288</v>
      </c>
    </row>
    <row r="29" spans="1:26" ht="15">
      <c r="A29" s="28">
        <v>22</v>
      </c>
      <c r="B29" s="29" t="s">
        <v>73</v>
      </c>
      <c r="C29" s="111">
        <f>'Mayoría relativa'!C29+'casillas especiales'!E32</f>
        <v>31561</v>
      </c>
      <c r="D29" s="112">
        <f t="shared" si="2"/>
        <v>0.3164612808454743</v>
      </c>
      <c r="E29" s="37">
        <f>'Mayoría relativa'!E29+'casillas especiales'!F32</f>
        <v>28465</v>
      </c>
      <c r="F29" s="36">
        <f t="shared" si="3"/>
        <v>0.2854177738115531</v>
      </c>
      <c r="G29" s="37">
        <f>'Mayoría relativa'!G29+'casillas especiales'!G32</f>
        <v>31185</v>
      </c>
      <c r="H29" s="36">
        <f t="shared" si="4"/>
        <v>0.3126911391643521</v>
      </c>
      <c r="I29" s="37">
        <f>'Mayoría relativa'!I29+'casillas especiales'!H32</f>
        <v>2266</v>
      </c>
      <c r="J29" s="36">
        <f t="shared" si="5"/>
        <v>0.022721119812295073</v>
      </c>
      <c r="K29" s="37">
        <f>'Mayoría relativa'!K29+'casillas especiales'!I32</f>
        <v>782</v>
      </c>
      <c r="L29" s="36">
        <f t="shared" si="6"/>
        <v>0.007841092538929721</v>
      </c>
      <c r="M29" s="37">
        <f>'Mayoría relativa'!M29+'casillas especiales'!J32</f>
        <v>576</v>
      </c>
      <c r="N29" s="36">
        <f t="shared" si="7"/>
        <v>0.005775536192357441</v>
      </c>
      <c r="O29" s="37">
        <f>'Mayoría relativa'!O29+'casillas especiales'!K32</f>
        <v>564</v>
      </c>
      <c r="P29" s="36">
        <f t="shared" si="8"/>
        <v>0.005655212521683328</v>
      </c>
      <c r="Q29" s="37">
        <f>'Mayoría relativa'!Q29+'casillas especiales'!L32</f>
        <v>1143</v>
      </c>
      <c r="R29" s="36">
        <f t="shared" si="9"/>
        <v>0.011460829631709298</v>
      </c>
      <c r="S29" s="37">
        <f>'Mayoría relativa'!S29+'casillas especiales'!M32</f>
        <v>16</v>
      </c>
      <c r="T29" s="36">
        <f t="shared" si="10"/>
        <v>0.0001604315608988178</v>
      </c>
      <c r="U29" s="37">
        <f>'Mayoría relativa'!U29+'casillas especiales'!N32</f>
        <v>3173</v>
      </c>
      <c r="V29" s="36">
        <f t="shared" si="11"/>
        <v>0.03181558392074681</v>
      </c>
      <c r="W29" s="37">
        <f t="shared" si="0"/>
        <v>99731</v>
      </c>
      <c r="X29" s="56">
        <f>'Casillas anuladas TEEM'!O49</f>
        <v>633</v>
      </c>
      <c r="Y29" s="56">
        <v>283092</v>
      </c>
      <c r="Z29" s="106">
        <f t="shared" si="1"/>
        <v>0.3545278566685035</v>
      </c>
    </row>
    <row r="30" spans="1:26" ht="12.75">
      <c r="A30" s="28">
        <v>23</v>
      </c>
      <c r="B30" s="29" t="s">
        <v>30</v>
      </c>
      <c r="C30" s="35">
        <f>'Mayoría relativa'!C30+'casillas especiales'!E33</f>
        <v>12520</v>
      </c>
      <c r="D30" s="36">
        <f t="shared" si="2"/>
        <v>0.14872538072271982</v>
      </c>
      <c r="E30" s="115">
        <f>'Mayoría relativa'!E30+'casillas especiales'!F33</f>
        <v>29047</v>
      </c>
      <c r="F30" s="116">
        <f t="shared" si="3"/>
        <v>0.3450500106911216</v>
      </c>
      <c r="G30" s="37">
        <f>'Mayoría relativa'!G30+'casillas especiales'!G33</f>
        <v>26134</v>
      </c>
      <c r="H30" s="36">
        <f t="shared" si="4"/>
        <v>0.31044641372264853</v>
      </c>
      <c r="I30" s="37">
        <f>'Mayoría relativa'!I30+'casillas especiales'!H33</f>
        <v>7758</v>
      </c>
      <c r="J30" s="36">
        <f t="shared" si="5"/>
        <v>0.09215746834240099</v>
      </c>
      <c r="K30" s="37">
        <f>'Mayoría relativa'!K30+'casillas especiales'!I33</f>
        <v>2356</v>
      </c>
      <c r="L30" s="36">
        <f t="shared" si="6"/>
        <v>0.02798698058967475</v>
      </c>
      <c r="M30" s="37">
        <f>'Mayoría relativa'!M30+'casillas especiales'!J33</f>
        <v>407</v>
      </c>
      <c r="N30" s="36">
        <f t="shared" si="7"/>
        <v>0.004834762775890333</v>
      </c>
      <c r="O30" s="37">
        <f>'Mayoría relativa'!O30+'casillas especiales'!K33</f>
        <v>1127</v>
      </c>
      <c r="P30" s="36">
        <f t="shared" si="8"/>
        <v>0.01338766006984866</v>
      </c>
      <c r="Q30" s="37">
        <f>'Mayoría relativa'!Q30+'casillas especiales'!L33</f>
        <v>2720</v>
      </c>
      <c r="R30" s="36">
        <f t="shared" si="9"/>
        <v>0.03231094533273146</v>
      </c>
      <c r="S30" s="37">
        <f>'Mayoría relativa'!S30+'casillas especiales'!M33</f>
        <v>14</v>
      </c>
      <c r="T30" s="36">
        <f t="shared" si="10"/>
        <v>0.00016630633627141194</v>
      </c>
      <c r="U30" s="37">
        <f>'Mayoría relativa'!U30+'casillas especiales'!N33</f>
        <v>2099</v>
      </c>
      <c r="V30" s="36">
        <f t="shared" si="11"/>
        <v>0.024934071416692405</v>
      </c>
      <c r="W30" s="37">
        <f t="shared" si="0"/>
        <v>84182</v>
      </c>
      <c r="X30" s="56">
        <v>0</v>
      </c>
      <c r="Y30" s="56">
        <v>193358</v>
      </c>
      <c r="Z30" s="106">
        <f t="shared" si="1"/>
        <v>0.43536859090391916</v>
      </c>
    </row>
    <row r="31" spans="1:26" ht="12.75">
      <c r="A31" s="28">
        <v>24</v>
      </c>
      <c r="B31" s="29" t="s">
        <v>31</v>
      </c>
      <c r="C31" s="35">
        <f>'Mayoría relativa'!C31+'casillas especiales'!E34</f>
        <v>12374</v>
      </c>
      <c r="D31" s="36">
        <f t="shared" si="2"/>
        <v>0.23422741297393476</v>
      </c>
      <c r="E31" s="37">
        <f>'Mayoría relativa'!E31+'casillas especiales'!F34</f>
        <v>13958</v>
      </c>
      <c r="F31" s="36">
        <f t="shared" si="3"/>
        <v>0.2642109447462568</v>
      </c>
      <c r="G31" s="117">
        <f>'Mayoría relativa'!G31+'casillas especiales'!G34</f>
        <v>23406</v>
      </c>
      <c r="H31" s="118">
        <f t="shared" si="4"/>
        <v>0.4430521115296523</v>
      </c>
      <c r="I31" s="37">
        <f>'Mayoría relativa'!I31+'casillas especiales'!H34</f>
        <v>466</v>
      </c>
      <c r="J31" s="36">
        <f t="shared" si="5"/>
        <v>0.008820912756251301</v>
      </c>
      <c r="K31" s="37">
        <f>'Mayoría relativa'!K31+'casillas especiales'!I34</f>
        <v>374</v>
      </c>
      <c r="L31" s="36">
        <f t="shared" si="6"/>
        <v>0.0070794450017982544</v>
      </c>
      <c r="M31" s="37">
        <f>'Mayoría relativa'!M31+'casillas especiales'!J34</f>
        <v>265</v>
      </c>
      <c r="N31" s="36">
        <f t="shared" si="7"/>
        <v>0.005016184292718015</v>
      </c>
      <c r="O31" s="37">
        <f>'Mayoría relativa'!O31+'casillas especiales'!K34</f>
        <v>393</v>
      </c>
      <c r="P31" s="36">
        <f t="shared" si="8"/>
        <v>0.007439095951087471</v>
      </c>
      <c r="Q31" s="37">
        <f>'Mayoría relativa'!Q31+'casillas especiales'!L34</f>
        <v>398</v>
      </c>
      <c r="R31" s="36">
        <f t="shared" si="9"/>
        <v>0.0075337409377425274</v>
      </c>
      <c r="S31" s="37">
        <f>'Mayoría relativa'!S31+'casillas especiales'!M34</f>
        <v>22</v>
      </c>
      <c r="T31" s="36">
        <f t="shared" si="10"/>
        <v>0.0004164379412822503</v>
      </c>
      <c r="U31" s="37">
        <f>'Mayoría relativa'!U31+'casillas especiales'!N34</f>
        <v>1173</v>
      </c>
      <c r="V31" s="36">
        <f t="shared" si="11"/>
        <v>0.022203713869276345</v>
      </c>
      <c r="W31" s="37">
        <f t="shared" si="0"/>
        <v>52829</v>
      </c>
      <c r="X31" s="56">
        <v>0</v>
      </c>
      <c r="Y31" s="56">
        <v>154979</v>
      </c>
      <c r="Z31" s="106">
        <f t="shared" si="1"/>
        <v>0.3408784415953129</v>
      </c>
    </row>
    <row r="32" spans="1:26" ht="12.75">
      <c r="A32" s="28">
        <v>25</v>
      </c>
      <c r="B32" s="29" t="s">
        <v>31</v>
      </c>
      <c r="C32" s="35">
        <f>'Mayoría relativa'!C32+'casillas especiales'!E35</f>
        <v>7849</v>
      </c>
      <c r="D32" s="36">
        <f t="shared" si="2"/>
        <v>0.12948512793440783</v>
      </c>
      <c r="E32" s="37">
        <f>'Mayoría relativa'!E32+'casillas especiales'!F35</f>
        <v>18963</v>
      </c>
      <c r="F32" s="36">
        <f t="shared" si="3"/>
        <v>0.3128330336374284</v>
      </c>
      <c r="G32" s="117">
        <f>'Mayoría relativa'!G32+'casillas especiales'!G35</f>
        <v>29291</v>
      </c>
      <c r="H32" s="118">
        <f t="shared" si="4"/>
        <v>0.48321427982249204</v>
      </c>
      <c r="I32" s="37">
        <f>'Mayoría relativa'!I32+'casillas especiales'!H35</f>
        <v>931</v>
      </c>
      <c r="J32" s="36">
        <f t="shared" si="5"/>
        <v>0.01535872774964119</v>
      </c>
      <c r="K32" s="37">
        <f>'Mayoría relativa'!K32+'casillas especiales'!I35</f>
        <v>1031</v>
      </c>
      <c r="L32" s="36">
        <f t="shared" si="6"/>
        <v>0.0170084299783889</v>
      </c>
      <c r="M32" s="37">
        <f>'Mayoría relativa'!M32+'casillas especiales'!J35</f>
        <v>286</v>
      </c>
      <c r="N32" s="36">
        <f t="shared" si="7"/>
        <v>0.004718148374218453</v>
      </c>
      <c r="O32" s="37">
        <f>'Mayoría relativa'!O32+'casillas especiales'!K35</f>
        <v>285</v>
      </c>
      <c r="P32" s="36">
        <f t="shared" si="8"/>
        <v>0.004701651351930977</v>
      </c>
      <c r="Q32" s="37">
        <f>'Mayoría relativa'!Q32+'casillas especiales'!L35</f>
        <v>271</v>
      </c>
      <c r="R32" s="36">
        <f t="shared" si="9"/>
        <v>0.0044706930399062966</v>
      </c>
      <c r="S32" s="37">
        <f>'Mayoría relativa'!S32+'casillas especiales'!M35</f>
        <v>14</v>
      </c>
      <c r="T32" s="36">
        <f t="shared" si="10"/>
        <v>0.00023095831202467955</v>
      </c>
      <c r="U32" s="37">
        <f>'Mayoría relativa'!U32+'casillas especiales'!N35</f>
        <v>1696</v>
      </c>
      <c r="V32" s="36">
        <f t="shared" si="11"/>
        <v>0.02797894979956118</v>
      </c>
      <c r="W32" s="37">
        <f t="shared" si="0"/>
        <v>60617</v>
      </c>
      <c r="X32" s="56">
        <v>0</v>
      </c>
      <c r="Y32" s="56">
        <v>180180</v>
      </c>
      <c r="Z32" s="106">
        <f t="shared" si="1"/>
        <v>0.3364246864246864</v>
      </c>
    </row>
    <row r="33" spans="1:26" ht="12.75">
      <c r="A33" s="28">
        <v>26</v>
      </c>
      <c r="B33" s="29" t="s">
        <v>31</v>
      </c>
      <c r="C33" s="35">
        <f>'Mayoría relativa'!C33+'casillas especiales'!E36</f>
        <v>9515</v>
      </c>
      <c r="D33" s="36">
        <f t="shared" si="2"/>
        <v>0.17425144217562494</v>
      </c>
      <c r="E33" s="37">
        <f>'Mayoría relativa'!E33+'casillas especiales'!F36</f>
        <v>14229</v>
      </c>
      <c r="F33" s="36">
        <f t="shared" si="3"/>
        <v>0.2605805329182309</v>
      </c>
      <c r="G33" s="117">
        <f>'Mayoría relativa'!G33+'casillas especiales'!G36</f>
        <v>26834</v>
      </c>
      <c r="H33" s="118">
        <f t="shared" si="4"/>
        <v>0.49142019961541983</v>
      </c>
      <c r="I33" s="37">
        <f>'Mayoría relativa'!I33+'casillas especiales'!H36</f>
        <v>601</v>
      </c>
      <c r="J33" s="36">
        <f t="shared" si="5"/>
        <v>0.011006318102737845</v>
      </c>
      <c r="K33" s="37">
        <f>'Mayoría relativa'!K33+'casillas especiales'!I36</f>
        <v>1051</v>
      </c>
      <c r="L33" s="36">
        <f t="shared" si="6"/>
        <v>0.019247321673839392</v>
      </c>
      <c r="M33" s="37">
        <f>'Mayoría relativa'!M33+'casillas especiales'!J36</f>
        <v>233</v>
      </c>
      <c r="N33" s="36">
        <f t="shared" si="7"/>
        <v>0.00426700851570369</v>
      </c>
      <c r="O33" s="37">
        <f>'Mayoría relativa'!O33+'casillas especiales'!K36</f>
        <v>335</v>
      </c>
      <c r="P33" s="36">
        <f t="shared" si="8"/>
        <v>0.006134969325153374</v>
      </c>
      <c r="Q33" s="37">
        <f>'Mayoría relativa'!Q33+'casillas especiales'!L36</f>
        <v>276</v>
      </c>
      <c r="R33" s="36">
        <f t="shared" si="9"/>
        <v>0.0050544821902756155</v>
      </c>
      <c r="S33" s="37">
        <f>'Mayoría relativa'!S33+'casillas especiales'!M36</f>
        <v>24</v>
      </c>
      <c r="T33" s="36">
        <f t="shared" si="10"/>
        <v>0.0004395201904587492</v>
      </c>
      <c r="U33" s="37">
        <f>'Mayoría relativa'!U33+'casillas especiales'!N36</f>
        <v>1507</v>
      </c>
      <c r="V33" s="36">
        <f t="shared" si="11"/>
        <v>0.027598205292555626</v>
      </c>
      <c r="W33" s="37">
        <f t="shared" si="0"/>
        <v>54605</v>
      </c>
      <c r="X33" s="56">
        <v>0</v>
      </c>
      <c r="Y33" s="56">
        <v>166776</v>
      </c>
      <c r="Z33" s="106">
        <f t="shared" si="1"/>
        <v>0.32741521561855425</v>
      </c>
    </row>
    <row r="34" spans="1:26" ht="12.75">
      <c r="A34" s="28">
        <v>27</v>
      </c>
      <c r="B34" s="29" t="s">
        <v>32</v>
      </c>
      <c r="C34" s="35">
        <f>'Mayoría relativa'!C34+'casillas especiales'!E37</f>
        <v>20348</v>
      </c>
      <c r="D34" s="36">
        <f t="shared" si="2"/>
        <v>0.14737772241013422</v>
      </c>
      <c r="E34" s="37">
        <f>'Mayoría relativa'!E34+'casillas especiales'!F37</f>
        <v>47701</v>
      </c>
      <c r="F34" s="36">
        <f t="shared" si="3"/>
        <v>0.3454916815748876</v>
      </c>
      <c r="G34" s="117">
        <f>'Mayoría relativa'!G34+'casillas especiales'!G37</f>
        <v>51742</v>
      </c>
      <c r="H34" s="118">
        <f t="shared" si="4"/>
        <v>0.3747600802508927</v>
      </c>
      <c r="I34" s="37">
        <f>'Mayoría relativa'!I34+'casillas especiales'!H37</f>
        <v>5542</v>
      </c>
      <c r="J34" s="36">
        <f t="shared" si="5"/>
        <v>0.04013993206196991</v>
      </c>
      <c r="K34" s="37">
        <f>'Mayoría relativa'!K34+'casillas especiales'!I37</f>
        <v>3817</v>
      </c>
      <c r="L34" s="36">
        <f t="shared" si="6"/>
        <v>0.02764599795751338</v>
      </c>
      <c r="M34" s="37">
        <f>'Mayoría relativa'!M34+'casillas especiales'!J37</f>
        <v>745</v>
      </c>
      <c r="N34" s="36">
        <f t="shared" si="7"/>
        <v>0.00539593096105514</v>
      </c>
      <c r="O34" s="37">
        <f>'Mayoría relativa'!O34+'casillas especiales'!K37</f>
        <v>2237</v>
      </c>
      <c r="P34" s="36">
        <f t="shared" si="8"/>
        <v>0.01620227860386624</v>
      </c>
      <c r="Q34" s="37">
        <f>'Mayoría relativa'!Q34+'casillas especiales'!L37</f>
        <v>885</v>
      </c>
      <c r="R34" s="36">
        <f t="shared" si="9"/>
        <v>0.006409931410112482</v>
      </c>
      <c r="S34" s="37">
        <f>'Mayoría relativa'!S34+'casillas especiales'!M37</f>
        <v>43</v>
      </c>
      <c r="T34" s="36">
        <f t="shared" si="10"/>
        <v>0.0003114429950676121</v>
      </c>
      <c r="U34" s="37">
        <f>'Mayoría relativa'!U34+'casillas especiales'!N37</f>
        <v>5007</v>
      </c>
      <c r="V34" s="36">
        <f t="shared" si="11"/>
        <v>0.03626500177450079</v>
      </c>
      <c r="W34" s="37">
        <f t="shared" si="0"/>
        <v>138067</v>
      </c>
      <c r="X34" s="56">
        <v>0</v>
      </c>
      <c r="Y34" s="56">
        <v>334321</v>
      </c>
      <c r="Z34" s="106">
        <f t="shared" si="1"/>
        <v>0.4129773481175278</v>
      </c>
    </row>
    <row r="35" spans="1:26" ht="12.75">
      <c r="A35" s="28">
        <v>28</v>
      </c>
      <c r="B35" s="29" t="s">
        <v>33</v>
      </c>
      <c r="C35" s="35">
        <f>'Mayoría relativa'!C35+'casillas especiales'!E38</f>
        <v>10160</v>
      </c>
      <c r="D35" s="36">
        <f t="shared" si="2"/>
        <v>0.17692642577274706</v>
      </c>
      <c r="E35" s="37">
        <f>'Mayoría relativa'!E35+'casillas especiales'!F38</f>
        <v>17129</v>
      </c>
      <c r="F35" s="36">
        <f t="shared" si="3"/>
        <v>0.29828471919895516</v>
      </c>
      <c r="G35" s="117">
        <f>'Mayoría relativa'!G35+'casillas especiales'!G38</f>
        <v>17764</v>
      </c>
      <c r="H35" s="118">
        <f t="shared" si="4"/>
        <v>0.30934262080975183</v>
      </c>
      <c r="I35" s="37">
        <f>'Mayoría relativa'!I35+'casillas especiales'!H38</f>
        <v>2930</v>
      </c>
      <c r="J35" s="36">
        <f t="shared" si="5"/>
        <v>0.05102307357422725</v>
      </c>
      <c r="K35" s="37">
        <f>'Mayoría relativa'!K35+'casillas especiales'!I38</f>
        <v>2729</v>
      </c>
      <c r="L35" s="36">
        <f t="shared" si="6"/>
        <v>0.04752285589899869</v>
      </c>
      <c r="M35" s="37">
        <f>'Mayoría relativa'!M35+'casillas especiales'!J38</f>
        <v>216</v>
      </c>
      <c r="N35" s="36">
        <f t="shared" si="7"/>
        <v>0.003761427949499347</v>
      </c>
      <c r="O35" s="37">
        <f>'Mayoría relativa'!O35+'casillas especiales'!K38</f>
        <v>2361</v>
      </c>
      <c r="P35" s="36">
        <f t="shared" si="8"/>
        <v>0.04111449717022203</v>
      </c>
      <c r="Q35" s="37">
        <f>'Mayoría relativa'!Q35+'casillas especiales'!L38</f>
        <v>1929</v>
      </c>
      <c r="R35" s="36">
        <f t="shared" si="9"/>
        <v>0.033591641271223334</v>
      </c>
      <c r="S35" s="37">
        <f>'Mayoría relativa'!S35+'casillas especiales'!M38</f>
        <v>41</v>
      </c>
      <c r="T35" s="36">
        <f t="shared" si="10"/>
        <v>0.0007139747496734872</v>
      </c>
      <c r="U35" s="37">
        <f>'Mayoría relativa'!U35+'casillas especiales'!N38</f>
        <v>2166</v>
      </c>
      <c r="V35" s="36">
        <f t="shared" si="11"/>
        <v>0.037718763604701784</v>
      </c>
      <c r="W35" s="37">
        <f t="shared" si="0"/>
        <v>57425</v>
      </c>
      <c r="X35" s="56">
        <v>0</v>
      </c>
      <c r="Y35" s="56">
        <v>104565</v>
      </c>
      <c r="Z35" s="106">
        <f t="shared" si="1"/>
        <v>0.5491799359250227</v>
      </c>
    </row>
    <row r="36" spans="1:26" ht="15">
      <c r="A36" s="28">
        <v>29</v>
      </c>
      <c r="B36" s="29" t="s">
        <v>74</v>
      </c>
      <c r="C36" s="111">
        <f>'Mayoría relativa'!C36+'casillas especiales'!E39</f>
        <v>43737</v>
      </c>
      <c r="D36" s="112">
        <f t="shared" si="2"/>
        <v>0.4203338683171076</v>
      </c>
      <c r="E36" s="37">
        <f>'Mayoría relativa'!E36+'casillas especiales'!F39</f>
        <v>32108</v>
      </c>
      <c r="F36" s="36">
        <f t="shared" si="3"/>
        <v>0.3085735154200263</v>
      </c>
      <c r="G36" s="37">
        <f>'Mayoría relativa'!G36+'casillas especiales'!G39</f>
        <v>19122</v>
      </c>
      <c r="H36" s="36">
        <f t="shared" si="4"/>
        <v>0.18377173171364594</v>
      </c>
      <c r="I36" s="37">
        <f>'Mayoría relativa'!I36+'casillas especiales'!H39</f>
        <v>1105</v>
      </c>
      <c r="J36" s="36">
        <f t="shared" si="5"/>
        <v>0.01061958809452875</v>
      </c>
      <c r="K36" s="37">
        <f>'Mayoría relativa'!K36+'casillas especiales'!I39</f>
        <v>1230</v>
      </c>
      <c r="L36" s="36">
        <f t="shared" si="6"/>
        <v>0.011820898964950553</v>
      </c>
      <c r="M36" s="37">
        <f>'Mayoría relativa'!M36+'casillas especiales'!J39</f>
        <v>435</v>
      </c>
      <c r="N36" s="36">
        <f t="shared" si="7"/>
        <v>0.004180561829067879</v>
      </c>
      <c r="O36" s="37">
        <f>'Mayoría relativa'!O36+'casillas especiales'!K39</f>
        <v>1930</v>
      </c>
      <c r="P36" s="36">
        <f t="shared" si="8"/>
        <v>0.01854823983931266</v>
      </c>
      <c r="Q36" s="37">
        <f>'Mayoría relativa'!Q36+'casillas especiales'!L39</f>
        <v>1628</v>
      </c>
      <c r="R36" s="36">
        <f t="shared" si="9"/>
        <v>0.015645872776373578</v>
      </c>
      <c r="S36" s="37">
        <f>'Mayoría relativa'!S36+'casillas especiales'!M39</f>
        <v>22</v>
      </c>
      <c r="T36" s="36">
        <f t="shared" si="10"/>
        <v>0.00021143071319423755</v>
      </c>
      <c r="U36" s="37">
        <f>'Mayoría relativa'!U36+'casillas especiales'!N39</f>
        <v>2736</v>
      </c>
      <c r="V36" s="36">
        <f t="shared" si="11"/>
        <v>0.02629429233179245</v>
      </c>
      <c r="W36" s="37">
        <f t="shared" si="0"/>
        <v>104053</v>
      </c>
      <c r="X36" s="56">
        <f>'Casillas anuladas TEEM'!O64</f>
        <v>1352</v>
      </c>
      <c r="Y36" s="56">
        <v>317652</v>
      </c>
      <c r="Z36" s="106">
        <f t="shared" si="1"/>
        <v>0.3318253938272071</v>
      </c>
    </row>
    <row r="37" spans="1:26" ht="12.75">
      <c r="A37" s="28">
        <v>30</v>
      </c>
      <c r="B37" s="29" t="s">
        <v>34</v>
      </c>
      <c r="C37" s="111">
        <f>'Mayoría relativa'!C37+'casillas especiales'!E40</f>
        <v>50848</v>
      </c>
      <c r="D37" s="112">
        <f t="shared" si="2"/>
        <v>0.49895984613573025</v>
      </c>
      <c r="E37" s="37">
        <f>'Mayoría relativa'!E37+'casillas especiales'!F40</f>
        <v>27178</v>
      </c>
      <c r="F37" s="36">
        <f t="shared" si="3"/>
        <v>0.2666915256898379</v>
      </c>
      <c r="G37" s="37">
        <f>'Mayoría relativa'!G37+'casillas especiales'!G40</f>
        <v>14482</v>
      </c>
      <c r="H37" s="36">
        <f t="shared" si="4"/>
        <v>0.14210856851277623</v>
      </c>
      <c r="I37" s="37">
        <f>'Mayoría relativa'!I37+'casillas especiales'!H40</f>
        <v>1020</v>
      </c>
      <c r="J37" s="36">
        <f t="shared" si="5"/>
        <v>0.010009027750520077</v>
      </c>
      <c r="K37" s="37">
        <f>'Mayoría relativa'!K37+'casillas especiales'!I40</f>
        <v>1732</v>
      </c>
      <c r="L37" s="36">
        <f t="shared" si="6"/>
        <v>0.016995721631275267</v>
      </c>
      <c r="M37" s="37">
        <f>'Mayoría relativa'!M37+'casillas especiales'!J40</f>
        <v>435</v>
      </c>
      <c r="N37" s="36">
        <f t="shared" si="7"/>
        <v>0.0042685559524276795</v>
      </c>
      <c r="O37" s="37">
        <f>'Mayoría relativa'!O37+'casillas especiales'!K40</f>
        <v>1532</v>
      </c>
      <c r="P37" s="36">
        <f t="shared" si="8"/>
        <v>0.015033167170388979</v>
      </c>
      <c r="Q37" s="37">
        <f>'Mayoría relativa'!Q37+'casillas especiales'!L40</f>
        <v>2203</v>
      </c>
      <c r="R37" s="36">
        <f t="shared" si="9"/>
        <v>0.02161753738666248</v>
      </c>
      <c r="S37" s="37">
        <f>'Mayoría relativa'!S37+'casillas especiales'!M40</f>
        <v>233</v>
      </c>
      <c r="T37" s="36">
        <f t="shared" si="10"/>
        <v>0.0022863759469325274</v>
      </c>
      <c r="U37" s="37">
        <f>'Mayoría relativa'!U37+'casillas especiales'!N40</f>
        <v>2245</v>
      </c>
      <c r="V37" s="36">
        <f t="shared" si="11"/>
        <v>0.0220296738234486</v>
      </c>
      <c r="W37" s="37">
        <f t="shared" si="0"/>
        <v>101908</v>
      </c>
      <c r="X37" s="56">
        <v>0</v>
      </c>
      <c r="Y37" s="56">
        <v>265070</v>
      </c>
      <c r="Z37" s="106">
        <f t="shared" si="1"/>
        <v>0.38445693590372354</v>
      </c>
    </row>
    <row r="38" spans="1:26" ht="12.75">
      <c r="A38" s="28">
        <v>31</v>
      </c>
      <c r="B38" s="29" t="s">
        <v>35</v>
      </c>
      <c r="C38" s="35">
        <f>'Mayoría relativa'!C38+'casillas especiales'!E41</f>
        <v>12282</v>
      </c>
      <c r="D38" s="36">
        <f t="shared" si="2"/>
        <v>0.09570563620637258</v>
      </c>
      <c r="E38" s="115">
        <f>'Mayoría relativa'!E38+'casillas especiales'!F41</f>
        <v>53734</v>
      </c>
      <c r="F38" s="116">
        <f t="shared" si="3"/>
        <v>0.4187141064902479</v>
      </c>
      <c r="G38" s="37">
        <f>'Mayoría relativa'!G38+'casillas especiales'!G41</f>
        <v>28517</v>
      </c>
      <c r="H38" s="36">
        <f t="shared" si="4"/>
        <v>0.22221442987275095</v>
      </c>
      <c r="I38" s="37">
        <f>'Mayoría relativa'!I38+'casillas especiales'!H41</f>
        <v>9844</v>
      </c>
      <c r="J38" s="36">
        <f t="shared" si="5"/>
        <v>0.07670788819536979</v>
      </c>
      <c r="K38" s="37">
        <f>'Mayoría relativa'!K38+'casillas especiales'!I41</f>
        <v>16045</v>
      </c>
      <c r="L38" s="36">
        <f t="shared" si="6"/>
        <v>0.12502824726683343</v>
      </c>
      <c r="M38" s="37">
        <f>'Mayoría relativa'!M38+'casillas especiales'!J41</f>
        <v>1406</v>
      </c>
      <c r="N38" s="36">
        <f t="shared" si="7"/>
        <v>0.010956043356632458</v>
      </c>
      <c r="O38" s="37">
        <f>'Mayoría relativa'!O38+'casillas especiales'!K41</f>
        <v>884</v>
      </c>
      <c r="P38" s="36">
        <f t="shared" si="8"/>
        <v>0.006888436932619554</v>
      </c>
      <c r="Q38" s="37">
        <f>'Mayoría relativa'!Q38+'casillas especiales'!L41</f>
        <v>1395</v>
      </c>
      <c r="R38" s="36">
        <f t="shared" si="9"/>
        <v>0.010870327512448279</v>
      </c>
      <c r="S38" s="37">
        <f>'Mayoría relativa'!S38+'casillas especiales'!M41</f>
        <v>51</v>
      </c>
      <c r="T38" s="36">
        <f t="shared" si="10"/>
        <v>0.0003974098230357435</v>
      </c>
      <c r="U38" s="37">
        <f>'Mayoría relativa'!U38+'casillas especiales'!N41</f>
        <v>4173</v>
      </c>
      <c r="V38" s="36">
        <f t="shared" si="11"/>
        <v>0.032517474343689366</v>
      </c>
      <c r="W38" s="37">
        <f t="shared" si="0"/>
        <v>128331</v>
      </c>
      <c r="X38" s="56">
        <v>0</v>
      </c>
      <c r="Y38" s="56">
        <v>377442</v>
      </c>
      <c r="Z38" s="106">
        <f t="shared" si="1"/>
        <v>0.34000190757785304</v>
      </c>
    </row>
    <row r="39" spans="1:26" ht="12.75">
      <c r="A39" s="28">
        <v>32</v>
      </c>
      <c r="B39" s="29" t="s">
        <v>31</v>
      </c>
      <c r="C39" s="35">
        <f>'Mayoría relativa'!C39+'casillas especiales'!E42</f>
        <v>9186</v>
      </c>
      <c r="D39" s="36">
        <f t="shared" si="2"/>
        <v>0.13956032269336535</v>
      </c>
      <c r="E39" s="37">
        <f>'Mayoría relativa'!E39+'casillas especiales'!F42</f>
        <v>17549</v>
      </c>
      <c r="F39" s="36">
        <f t="shared" si="3"/>
        <v>0.2666170371158141</v>
      </c>
      <c r="G39" s="117">
        <f>'Mayoría relativa'!G39+'casillas especiales'!G42</f>
        <v>34185</v>
      </c>
      <c r="H39" s="118">
        <f t="shared" si="4"/>
        <v>0.5193631211923246</v>
      </c>
      <c r="I39" s="37">
        <f>'Mayoría relativa'!I39+'casillas especiales'!H42</f>
        <v>967</v>
      </c>
      <c r="J39" s="36">
        <f t="shared" si="5"/>
        <v>0.014691359900335758</v>
      </c>
      <c r="K39" s="37">
        <f>'Mayoría relativa'!K39+'casillas especiales'!I42</f>
        <v>1066</v>
      </c>
      <c r="L39" s="36">
        <f t="shared" si="6"/>
        <v>0.016195439145561447</v>
      </c>
      <c r="M39" s="37">
        <f>'Mayoría relativa'!M39+'casillas especiales'!J42</f>
        <v>299</v>
      </c>
      <c r="N39" s="36">
        <f t="shared" si="7"/>
        <v>0.004542623174974552</v>
      </c>
      <c r="O39" s="37">
        <f>'Mayoría relativa'!O39+'casillas especiales'!K42</f>
        <v>376</v>
      </c>
      <c r="P39" s="36">
        <f t="shared" si="8"/>
        <v>0.005712462587927865</v>
      </c>
      <c r="Q39" s="37">
        <f>'Mayoría relativa'!Q39+'casillas especiales'!L42</f>
        <v>377</v>
      </c>
      <c r="R39" s="36">
        <f t="shared" si="9"/>
        <v>0.005727655307576609</v>
      </c>
      <c r="S39" s="37">
        <f>'Mayoría relativa'!S39+'casillas especiales'!M42</f>
        <v>18</v>
      </c>
      <c r="T39" s="36">
        <f t="shared" si="10"/>
        <v>0.0002734689536773978</v>
      </c>
      <c r="U39" s="37">
        <f>'Mayoría relativa'!U39+'casillas especiales'!N42</f>
        <v>1798</v>
      </c>
      <c r="V39" s="36">
        <f t="shared" si="11"/>
        <v>0.02731650992844229</v>
      </c>
      <c r="W39" s="37">
        <f t="shared" si="0"/>
        <v>65821</v>
      </c>
      <c r="X39" s="56">
        <v>0</v>
      </c>
      <c r="Y39" s="56">
        <v>201580</v>
      </c>
      <c r="Z39" s="106">
        <f t="shared" si="1"/>
        <v>0.3265254489532692</v>
      </c>
    </row>
    <row r="40" spans="1:26" ht="15">
      <c r="A40" s="28">
        <v>33</v>
      </c>
      <c r="B40" s="29" t="s">
        <v>69</v>
      </c>
      <c r="C40" s="35">
        <f>'Mayoría relativa'!C40+'casillas especiales'!E43+'casillas especiales'!E44</f>
        <v>38039</v>
      </c>
      <c r="D40" s="36">
        <f t="shared" si="2"/>
        <v>0.32858241122254184</v>
      </c>
      <c r="E40" s="115">
        <f>'Mayoría relativa'!E40+'casillas especiales'!F43+'casillas especiales'!F44</f>
        <v>45527</v>
      </c>
      <c r="F40" s="116">
        <f t="shared" si="3"/>
        <v>0.3932640562509178</v>
      </c>
      <c r="G40" s="37">
        <f>'Mayoría relativa'!G40+'casillas especiales'!G43+'casillas especiales'!G44</f>
        <v>23960</v>
      </c>
      <c r="H40" s="36">
        <f t="shared" si="4"/>
        <v>0.20696744322648078</v>
      </c>
      <c r="I40" s="37">
        <f>'Mayoría relativa'!I40+'casillas especiales'!H43+'casillas especiales'!H44</f>
        <v>1422</v>
      </c>
      <c r="J40" s="36">
        <f t="shared" si="5"/>
        <v>0.012283293166446397</v>
      </c>
      <c r="K40" s="37">
        <f>'Mayoría relativa'!K40+'casillas especiales'!I43+'casillas especiales'!I44</f>
        <v>1380</v>
      </c>
      <c r="L40" s="36">
        <f t="shared" si="6"/>
        <v>0.011920495477985954</v>
      </c>
      <c r="M40" s="37">
        <f>'Mayoría relativa'!M40+'casillas especiales'!J43+'casillas especiales'!J44</f>
        <v>738</v>
      </c>
      <c r="N40" s="36">
        <f t="shared" si="7"/>
        <v>0.006374873668662054</v>
      </c>
      <c r="O40" s="37">
        <f>'Mayoría relativa'!O40+'casillas especiales'!K43+'casillas especiales'!K44</f>
        <v>755</v>
      </c>
      <c r="P40" s="36">
        <f t="shared" si="8"/>
        <v>0.006521720352086519</v>
      </c>
      <c r="Q40" s="37">
        <f>'Mayoría relativa'!Q40+'casillas especiales'!L43+'casillas especiales'!L44</f>
        <v>1276</v>
      </c>
      <c r="R40" s="36">
        <f t="shared" si="9"/>
        <v>0.011022139297036288</v>
      </c>
      <c r="S40" s="37">
        <f>'Mayoría relativa'!S40+'casillas especiales'!M43+'casillas especiales'!M44</f>
        <v>26</v>
      </c>
      <c r="T40" s="36">
        <f t="shared" si="10"/>
        <v>0.00022458904523741654</v>
      </c>
      <c r="U40" s="37">
        <f>'Mayoría relativa'!U40+'casillas especiales'!N43+'casillas especiales'!N44</f>
        <v>2644</v>
      </c>
      <c r="V40" s="36">
        <f t="shared" si="11"/>
        <v>0.022838978292604974</v>
      </c>
      <c r="W40" s="37">
        <f t="shared" si="0"/>
        <v>115767</v>
      </c>
      <c r="X40" s="56">
        <f>'Casillas anuladas TEEM'!O72</f>
        <v>991</v>
      </c>
      <c r="Y40" s="56">
        <v>278099</v>
      </c>
      <c r="Z40" s="106">
        <f t="shared" si="1"/>
        <v>0.41984329321572533</v>
      </c>
    </row>
    <row r="41" spans="1:26" ht="12.75">
      <c r="A41" s="28">
        <v>34</v>
      </c>
      <c r="B41" s="29" t="s">
        <v>36</v>
      </c>
      <c r="C41" s="35">
        <f>'Mayoría relativa'!C41+'casillas especiales'!E45</f>
        <v>9009</v>
      </c>
      <c r="D41" s="36">
        <f t="shared" si="2"/>
        <v>0.2281279278823023</v>
      </c>
      <c r="E41" s="115">
        <f>'Mayoría relativa'!E41+'casillas especiales'!F45</f>
        <v>16299</v>
      </c>
      <c r="F41" s="116">
        <f t="shared" si="3"/>
        <v>0.41272695044440505</v>
      </c>
      <c r="G41" s="37">
        <f>'Mayoría relativa'!G41+'casillas especiales'!G45</f>
        <v>7854</v>
      </c>
      <c r="H41" s="36">
        <f t="shared" si="4"/>
        <v>0.19888075764098148</v>
      </c>
      <c r="I41" s="37">
        <f>'Mayoría relativa'!I41+'casillas especiales'!H45</f>
        <v>3453</v>
      </c>
      <c r="J41" s="36">
        <f t="shared" si="5"/>
        <v>0.0874376440201565</v>
      </c>
      <c r="K41" s="37">
        <f>'Mayoría relativa'!K41+'casillas especiales'!I45</f>
        <v>83</v>
      </c>
      <c r="L41" s="36">
        <f t="shared" si="6"/>
        <v>0.0021017447013243523</v>
      </c>
      <c r="M41" s="37">
        <f>'Mayoría relativa'!M41+'casillas especiales'!J45</f>
        <v>110</v>
      </c>
      <c r="N41" s="36">
        <f t="shared" si="7"/>
        <v>0.002785444784887696</v>
      </c>
      <c r="O41" s="37">
        <f>'Mayoría relativa'!O41+'casillas especiales'!K45</f>
        <v>134</v>
      </c>
      <c r="P41" s="36">
        <f t="shared" si="8"/>
        <v>0.003393178192499557</v>
      </c>
      <c r="Q41" s="37">
        <f>'Mayoría relativa'!Q41+'casillas especiales'!L45</f>
        <v>1093</v>
      </c>
      <c r="R41" s="36">
        <f t="shared" si="9"/>
        <v>0.027677192271656832</v>
      </c>
      <c r="S41" s="37">
        <f>'Mayoría relativa'!S41+'casillas especiales'!M45</f>
        <v>6</v>
      </c>
      <c r="T41" s="36">
        <f t="shared" si="10"/>
        <v>0.00015193335190296522</v>
      </c>
      <c r="U41" s="37">
        <f>'Mayoría relativa'!U41+'casillas especiales'!N45</f>
        <v>1450</v>
      </c>
      <c r="V41" s="36">
        <f t="shared" si="11"/>
        <v>0.03671722670988326</v>
      </c>
      <c r="W41" s="37">
        <f t="shared" si="0"/>
        <v>39491</v>
      </c>
      <c r="X41" s="56">
        <v>0</v>
      </c>
      <c r="Y41" s="56">
        <v>68343</v>
      </c>
      <c r="Z41" s="106">
        <f t="shared" si="1"/>
        <v>0.5778353306117671</v>
      </c>
    </row>
    <row r="42" spans="1:26" ht="12.75">
      <c r="A42" s="28">
        <v>35</v>
      </c>
      <c r="B42" s="29" t="s">
        <v>37</v>
      </c>
      <c r="C42" s="111">
        <f>'Mayoría relativa'!C42+'casillas especiales'!E46</f>
        <v>22310</v>
      </c>
      <c r="D42" s="112">
        <f t="shared" si="2"/>
        <v>0.3184777022783075</v>
      </c>
      <c r="E42" s="37">
        <f>'Mayoría relativa'!E42+'casillas especiales'!F46</f>
        <v>21470</v>
      </c>
      <c r="F42" s="36">
        <f t="shared" si="3"/>
        <v>0.3064866099468966</v>
      </c>
      <c r="G42" s="37">
        <f>'Mayoría relativa'!G42+'casillas especiales'!G46</f>
        <v>4826</v>
      </c>
      <c r="H42" s="36">
        <f t="shared" si="4"/>
        <v>0.06889168046593959</v>
      </c>
      <c r="I42" s="37">
        <f>'Mayoría relativa'!I42+'casillas especiales'!H46</f>
        <v>13284</v>
      </c>
      <c r="J42" s="36">
        <f t="shared" si="5"/>
        <v>0.18963056015531318</v>
      </c>
      <c r="K42" s="37">
        <f>'Mayoría relativa'!K42+'casillas especiales'!I46</f>
        <v>1463</v>
      </c>
      <c r="L42" s="36">
        <f t="shared" si="6"/>
        <v>0.02088448581054074</v>
      </c>
      <c r="M42" s="37">
        <f>'Mayoría relativa'!M42+'casillas especiales'!J46</f>
        <v>4173</v>
      </c>
      <c r="N42" s="36">
        <f t="shared" si="7"/>
        <v>0.05957003368925941</v>
      </c>
      <c r="O42" s="37">
        <f>'Mayoría relativa'!O42+'casillas especiales'!K46</f>
        <v>399</v>
      </c>
      <c r="P42" s="36">
        <f t="shared" si="8"/>
        <v>0.005695768857420202</v>
      </c>
      <c r="Q42" s="37">
        <f>'Mayoría relativa'!Q42+'casillas especiales'!L46</f>
        <v>523</v>
      </c>
      <c r="R42" s="36">
        <f t="shared" si="9"/>
        <v>0.007465882487295152</v>
      </c>
      <c r="S42" s="37">
        <f>'Mayoría relativa'!S42+'casillas especiales'!M46</f>
        <v>7</v>
      </c>
      <c r="T42" s="36">
        <f t="shared" si="10"/>
        <v>9.99257694284246E-05</v>
      </c>
      <c r="U42" s="37">
        <f>'Mayoría relativa'!U42+'casillas especiales'!N46</f>
        <v>1597</v>
      </c>
      <c r="V42" s="36">
        <f t="shared" si="11"/>
        <v>0.022797350539599155</v>
      </c>
      <c r="W42" s="37">
        <f t="shared" si="0"/>
        <v>70052</v>
      </c>
      <c r="X42" s="56">
        <v>0</v>
      </c>
      <c r="Y42" s="56">
        <v>132423</v>
      </c>
      <c r="Z42" s="106">
        <f t="shared" si="1"/>
        <v>0.5290017595130755</v>
      </c>
    </row>
    <row r="43" spans="1:26" ht="12.75">
      <c r="A43" s="28">
        <v>36</v>
      </c>
      <c r="B43" s="29" t="s">
        <v>38</v>
      </c>
      <c r="C43" s="111">
        <f>'Mayoría relativa'!C43+'casillas especiales'!E47+'casillas especiales'!E48+'casillas especiales'!E49</f>
        <v>21763</v>
      </c>
      <c r="D43" s="112">
        <f t="shared" si="2"/>
        <v>0.3611816446767903</v>
      </c>
      <c r="E43" s="37">
        <f>'Mayoría relativa'!E43+'casillas especiales'!F47+'casillas especiales'!F48+'casillas especiales'!F49</f>
        <v>20744</v>
      </c>
      <c r="F43" s="36">
        <f t="shared" si="3"/>
        <v>0.34427018504688406</v>
      </c>
      <c r="G43" s="37">
        <f>'Mayoría relativa'!G43+'casillas especiales'!G47+'casillas especiales'!G48+'casillas especiales'!G49</f>
        <v>4169</v>
      </c>
      <c r="H43" s="36">
        <f t="shared" si="4"/>
        <v>0.06918927889801677</v>
      </c>
      <c r="I43" s="37">
        <f>'Mayoría relativa'!I43+'casillas especiales'!H47+'casillas especiales'!H48+'casillas especiales'!H49</f>
        <v>4603</v>
      </c>
      <c r="J43" s="36">
        <f t="shared" si="5"/>
        <v>0.07639200066384533</v>
      </c>
      <c r="K43" s="37">
        <f>'Mayoría relativa'!K43+'casillas especiales'!I47+'casillas especiales'!I48+'casillas especiales'!I49</f>
        <v>5305</v>
      </c>
      <c r="L43" s="36">
        <f t="shared" si="6"/>
        <v>0.08804248610073853</v>
      </c>
      <c r="M43" s="37">
        <f>'Mayoría relativa'!M43+'casillas especiales'!J47+'casillas especiales'!J48+'casillas especiales'!J49</f>
        <v>121</v>
      </c>
      <c r="N43" s="36">
        <f t="shared" si="7"/>
        <v>0.002008132105219484</v>
      </c>
      <c r="O43" s="37">
        <f>'Mayoría relativa'!O43+'casillas especiales'!K47+'casillas especiales'!K48+'casillas especiales'!K49</f>
        <v>1636</v>
      </c>
      <c r="P43" s="36">
        <f t="shared" si="8"/>
        <v>0.0271512737532155</v>
      </c>
      <c r="Q43" s="37">
        <f>'Mayoría relativa'!Q43+'casillas especiales'!L47+'casillas especiales'!L48+'casillas especiales'!L49</f>
        <v>333</v>
      </c>
      <c r="R43" s="36">
        <f t="shared" si="9"/>
        <v>0.005526512322628827</v>
      </c>
      <c r="S43" s="37">
        <f>'Mayoría relativa'!S43+'casillas especiales'!M47+'casillas especiales'!M48+'casillas especiales'!M49</f>
        <v>0</v>
      </c>
      <c r="T43" s="36">
        <f t="shared" si="10"/>
        <v>0</v>
      </c>
      <c r="U43" s="37">
        <f>'Mayoría relativa'!U43+'casillas especiales'!N47+'casillas especiales'!N48+'casillas especiales'!N49</f>
        <v>1581</v>
      </c>
      <c r="V43" s="36">
        <f t="shared" si="11"/>
        <v>0.02623848643266119</v>
      </c>
      <c r="W43" s="37">
        <f t="shared" si="0"/>
        <v>60255</v>
      </c>
      <c r="X43" s="56">
        <v>0</v>
      </c>
      <c r="Y43" s="56">
        <v>110754</v>
      </c>
      <c r="Z43" s="106">
        <f t="shared" si="1"/>
        <v>0.5440435559889485</v>
      </c>
    </row>
    <row r="44" spans="1:26" ht="12.75">
      <c r="A44" s="28">
        <v>37</v>
      </c>
      <c r="B44" s="29" t="s">
        <v>48</v>
      </c>
      <c r="C44" s="111">
        <f>'Mayoría relativa'!C44+'casillas especiales'!E50</f>
        <v>45119</v>
      </c>
      <c r="D44" s="112">
        <f t="shared" si="2"/>
        <v>0.48113589831086845</v>
      </c>
      <c r="E44" s="37">
        <f>'Mayoría relativa'!E44+'casillas especiales'!F50</f>
        <v>22750</v>
      </c>
      <c r="F44" s="36">
        <f t="shared" si="3"/>
        <v>0.24259938577034637</v>
      </c>
      <c r="G44" s="37">
        <f>'Mayoría relativa'!G44+'casillas especiales'!G50</f>
        <v>19575</v>
      </c>
      <c r="H44" s="36">
        <f t="shared" si="4"/>
        <v>0.20874210885514416</v>
      </c>
      <c r="I44" s="37">
        <f>'Mayoría relativa'!I44+'casillas especiales'!H50</f>
        <v>757</v>
      </c>
      <c r="J44" s="36">
        <f t="shared" si="5"/>
        <v>0.00807242791332537</v>
      </c>
      <c r="K44" s="37">
        <f>'Mayoría relativa'!K44+'casillas especiales'!I50</f>
        <v>2143</v>
      </c>
      <c r="L44" s="36">
        <f t="shared" si="6"/>
        <v>0.022852328954103395</v>
      </c>
      <c r="M44" s="37">
        <f>'Mayoría relativa'!M44+'casillas especiales'!J50</f>
        <v>306</v>
      </c>
      <c r="N44" s="36">
        <f t="shared" si="7"/>
        <v>0.0032630950349769663</v>
      </c>
      <c r="O44" s="37">
        <f>'Mayoría relativa'!O44+'casillas especiales'!K50</f>
        <v>356</v>
      </c>
      <c r="P44" s="36">
        <f t="shared" si="8"/>
        <v>0.003796280498208497</v>
      </c>
      <c r="Q44" s="37">
        <f>'Mayoría relativa'!Q44+'casillas especiales'!L50</f>
        <v>259</v>
      </c>
      <c r="R44" s="36">
        <f t="shared" si="9"/>
        <v>0.002761900699539328</v>
      </c>
      <c r="S44" s="37">
        <f>'Mayoría relativa'!S44+'casillas especiales'!M50</f>
        <v>29</v>
      </c>
      <c r="T44" s="36">
        <f t="shared" si="10"/>
        <v>0.0003092475686742877</v>
      </c>
      <c r="U44" s="37">
        <f>'Mayoría relativa'!U44+'casillas especiales'!N50</f>
        <v>2482</v>
      </c>
      <c r="V44" s="36">
        <f t="shared" si="11"/>
        <v>0.02646732639481317</v>
      </c>
      <c r="W44" s="37">
        <f t="shared" si="0"/>
        <v>93776</v>
      </c>
      <c r="X44" s="56">
        <v>0</v>
      </c>
      <c r="Y44" s="56">
        <v>268017</v>
      </c>
      <c r="Z44" s="106">
        <f t="shared" si="1"/>
        <v>0.3498882533570632</v>
      </c>
    </row>
    <row r="45" spans="1:26" ht="15">
      <c r="A45" s="28">
        <v>38</v>
      </c>
      <c r="B45" s="29" t="s">
        <v>68</v>
      </c>
      <c r="C45" s="35">
        <f>'Mayoría relativa'!C45+'casillas especiales'!E51+'casillas especiales'!E52</f>
        <v>45902</v>
      </c>
      <c r="D45" s="36">
        <f t="shared" si="2"/>
        <v>0.27091214920175877</v>
      </c>
      <c r="E45" s="115">
        <f>'Mayoría relativa'!E45+'casillas especiales'!F51+'casillas especiales'!F52</f>
        <v>56853</v>
      </c>
      <c r="F45" s="116">
        <f t="shared" si="3"/>
        <v>0.3355446041254758</v>
      </c>
      <c r="G45" s="37">
        <f>'Mayoría relativa'!G45+'casillas especiales'!G51+'casillas especiales'!G52</f>
        <v>48755</v>
      </c>
      <c r="H45" s="36">
        <f t="shared" si="4"/>
        <v>0.28775046478000416</v>
      </c>
      <c r="I45" s="37">
        <f>'Mayoría relativa'!I45+'casillas especiales'!H51+'casillas especiales'!H52</f>
        <v>7850</v>
      </c>
      <c r="J45" s="36">
        <f t="shared" si="5"/>
        <v>0.046330451205477026</v>
      </c>
      <c r="K45" s="37">
        <f>'Mayoría relativa'!K45+'casillas especiales'!I51+'casillas especiales'!I52</f>
        <v>1827</v>
      </c>
      <c r="L45" s="36">
        <f t="shared" si="6"/>
        <v>0.010782896095847965</v>
      </c>
      <c r="M45" s="37">
        <f>'Mayoría relativa'!M45+'casillas especiales'!J51+'casillas especiales'!J52</f>
        <v>2415</v>
      </c>
      <c r="N45" s="36">
        <f t="shared" si="7"/>
        <v>0.01425325346002892</v>
      </c>
      <c r="O45" s="37">
        <f>'Mayoría relativa'!O45+'casillas especiales'!K51+'casillas especiales'!K52</f>
        <v>937</v>
      </c>
      <c r="P45" s="36">
        <f t="shared" si="8"/>
        <v>0.005530144303125093</v>
      </c>
      <c r="Q45" s="37">
        <f>'Mayoría relativa'!Q45+'casillas especiales'!L51+'casillas especiales'!L52</f>
        <v>1089</v>
      </c>
      <c r="R45" s="36">
        <f t="shared" si="9"/>
        <v>0.006427243485702482</v>
      </c>
      <c r="S45" s="37">
        <f>'Mayoría relativa'!S45+'casillas especiales'!M51+'casillas especiales'!M52</f>
        <v>26</v>
      </c>
      <c r="T45" s="36">
        <f t="shared" si="10"/>
        <v>0.00015345117596718506</v>
      </c>
      <c r="U45" s="37">
        <f>'Mayoría relativa'!U45+'casillas especiales'!N51+'casillas especiales'!N52</f>
        <v>3781</v>
      </c>
      <c r="V45" s="36">
        <f t="shared" si="11"/>
        <v>0.022315342166612566</v>
      </c>
      <c r="W45" s="37">
        <f t="shared" si="0"/>
        <v>169435</v>
      </c>
      <c r="X45" s="56">
        <f>'Casillas anuladas TEEM'!O80</f>
        <v>1102</v>
      </c>
      <c r="Y45" s="56">
        <v>413129</v>
      </c>
      <c r="Z45" s="106">
        <f t="shared" si="1"/>
        <v>0.4127935826339957</v>
      </c>
    </row>
    <row r="46" spans="1:26" ht="12.75">
      <c r="A46" s="28">
        <v>39</v>
      </c>
      <c r="B46" s="29" t="s">
        <v>40</v>
      </c>
      <c r="C46" s="35">
        <f>'Mayoría relativa'!C46+'casillas especiales'!E53</f>
        <v>17021</v>
      </c>
      <c r="D46" s="36">
        <f t="shared" si="2"/>
        <v>0.24328921414482146</v>
      </c>
      <c r="E46" s="115">
        <f>'Mayoría relativa'!E46+'casillas especiales'!F53</f>
        <v>24718</v>
      </c>
      <c r="F46" s="116">
        <f t="shared" si="3"/>
        <v>0.3533060804436694</v>
      </c>
      <c r="G46" s="37">
        <f>'Mayoría relativa'!G46+'casillas especiales'!G53</f>
        <v>18583</v>
      </c>
      <c r="H46" s="36">
        <f t="shared" si="4"/>
        <v>0.26561561990795</v>
      </c>
      <c r="I46" s="37">
        <f>'Mayoría relativa'!I46+'casillas especiales'!H53</f>
        <v>1896</v>
      </c>
      <c r="J46" s="36">
        <f t="shared" si="5"/>
        <v>0.02710042594551328</v>
      </c>
      <c r="K46" s="37">
        <f>'Mayoría relativa'!K46+'casillas especiales'!I53</f>
        <v>1799</v>
      </c>
      <c r="L46" s="36">
        <f t="shared" si="6"/>
        <v>0.025713959006317715</v>
      </c>
      <c r="M46" s="37">
        <f>'Mayoría relativa'!M46+'casillas especiales'!J53</f>
        <v>1551</v>
      </c>
      <c r="N46" s="36">
        <f t="shared" si="7"/>
        <v>0.022169177553529058</v>
      </c>
      <c r="O46" s="37">
        <f>'Mayoría relativa'!O46+'casillas especiales'!K53</f>
        <v>179</v>
      </c>
      <c r="P46" s="36">
        <f t="shared" si="8"/>
        <v>0.0025585317743918126</v>
      </c>
      <c r="Q46" s="37">
        <f>'Mayoría relativa'!Q46+'casillas especiales'!L53</f>
        <v>2338</v>
      </c>
      <c r="R46" s="36">
        <f t="shared" si="9"/>
        <v>0.03341814127669306</v>
      </c>
      <c r="S46" s="37">
        <f>'Mayoría relativa'!S46+'casillas especiales'!M53</f>
        <v>26</v>
      </c>
      <c r="T46" s="36">
        <f t="shared" si="10"/>
        <v>0.0003716303135988108</v>
      </c>
      <c r="U46" s="37">
        <f>'Mayoría relativa'!U46+'casillas especiales'!N53</f>
        <v>1851</v>
      </c>
      <c r="V46" s="36">
        <f t="shared" si="11"/>
        <v>0.026457219633515338</v>
      </c>
      <c r="W46" s="37">
        <f t="shared" si="0"/>
        <v>69962</v>
      </c>
      <c r="X46" s="56">
        <v>0</v>
      </c>
      <c r="Y46" s="56">
        <v>127415</v>
      </c>
      <c r="Z46" s="106">
        <f t="shared" si="1"/>
        <v>0.5490876270454813</v>
      </c>
    </row>
    <row r="47" spans="1:26" ht="12.75">
      <c r="A47" s="28">
        <v>40</v>
      </c>
      <c r="B47" s="29" t="s">
        <v>41</v>
      </c>
      <c r="C47" s="35">
        <f>'Mayoría relativa'!C47+'casillas especiales'!E54</f>
        <v>11531</v>
      </c>
      <c r="D47" s="36">
        <f t="shared" si="2"/>
        <v>0.1310340909090909</v>
      </c>
      <c r="E47" s="37">
        <f>'Mayoría relativa'!E47+'casillas especiales'!F54</f>
        <v>34440</v>
      </c>
      <c r="F47" s="36">
        <f t="shared" si="3"/>
        <v>0.39136363636363636</v>
      </c>
      <c r="G47" s="117">
        <f>'Mayoría relativa'!G47+'casillas especiales'!G54</f>
        <v>35007</v>
      </c>
      <c r="H47" s="118">
        <f t="shared" si="4"/>
        <v>0.3978068181818182</v>
      </c>
      <c r="I47" s="37">
        <f>'Mayoría relativa'!I47+'casillas especiales'!H54</f>
        <v>1720</v>
      </c>
      <c r="J47" s="36">
        <f t="shared" si="5"/>
        <v>0.019545454545454546</v>
      </c>
      <c r="K47" s="37">
        <f>'Mayoría relativa'!K47+'casillas especiales'!I54</f>
        <v>846</v>
      </c>
      <c r="L47" s="36">
        <f t="shared" si="6"/>
        <v>0.009613636363636364</v>
      </c>
      <c r="M47" s="37">
        <f>'Mayoría relativa'!M47+'casillas especiales'!J54</f>
        <v>314</v>
      </c>
      <c r="N47" s="36">
        <f t="shared" si="7"/>
        <v>0.003568181818181818</v>
      </c>
      <c r="O47" s="37">
        <f>'Mayoría relativa'!O47+'casillas especiales'!K54</f>
        <v>688</v>
      </c>
      <c r="P47" s="36">
        <f t="shared" si="8"/>
        <v>0.007818181818181818</v>
      </c>
      <c r="Q47" s="37">
        <f>'Mayoría relativa'!Q47+'casillas especiales'!L54</f>
        <v>931</v>
      </c>
      <c r="R47" s="36">
        <f t="shared" si="9"/>
        <v>0.010579545454545454</v>
      </c>
      <c r="S47" s="37">
        <f>'Mayoría relativa'!S47+'casillas especiales'!M54</f>
        <v>35</v>
      </c>
      <c r="T47" s="36">
        <f t="shared" si="10"/>
        <v>0.00039772727272727274</v>
      </c>
      <c r="U47" s="37">
        <f>'Mayoría relativa'!U47+'casillas especiales'!N54</f>
        <v>2488</v>
      </c>
      <c r="V47" s="36">
        <f t="shared" si="11"/>
        <v>0.028272727272727272</v>
      </c>
      <c r="W47" s="37">
        <f t="shared" si="0"/>
        <v>88000</v>
      </c>
      <c r="X47" s="56">
        <v>0</v>
      </c>
      <c r="Y47" s="56">
        <v>216481</v>
      </c>
      <c r="Z47" s="106">
        <f t="shared" si="1"/>
        <v>0.40650218725892806</v>
      </c>
    </row>
    <row r="48" spans="1:26" ht="12.75">
      <c r="A48" s="28">
        <v>41</v>
      </c>
      <c r="B48" s="29" t="s">
        <v>31</v>
      </c>
      <c r="C48" s="35">
        <f>'Mayoría relativa'!C48+'casillas especiales'!E55</f>
        <v>6719</v>
      </c>
      <c r="D48" s="36">
        <f t="shared" si="2"/>
        <v>0.11414059049366357</v>
      </c>
      <c r="E48" s="37">
        <f>'Mayoría relativa'!E48+'casillas especiales'!F55</f>
        <v>15316</v>
      </c>
      <c r="F48" s="36">
        <f t="shared" si="3"/>
        <v>0.2601841470458329</v>
      </c>
      <c r="G48" s="117">
        <f>'Mayoría relativa'!G48+'casillas especiales'!G55</f>
        <v>32660</v>
      </c>
      <c r="H48" s="118">
        <f t="shared" si="4"/>
        <v>0.5548194203784867</v>
      </c>
      <c r="I48" s="37">
        <f>'Mayoría relativa'!I48+'casillas especiales'!H55</f>
        <v>717</v>
      </c>
      <c r="J48" s="36">
        <f t="shared" si="5"/>
        <v>0.012180205891346448</v>
      </c>
      <c r="K48" s="37">
        <f>'Mayoría relativa'!K48+'casillas especiales'!I55</f>
        <v>702</v>
      </c>
      <c r="L48" s="36">
        <f t="shared" si="6"/>
        <v>0.011925389868514932</v>
      </c>
      <c r="M48" s="37">
        <f>'Mayoría relativa'!M48+'casillas especiales'!J55</f>
        <v>305</v>
      </c>
      <c r="N48" s="36">
        <f t="shared" si="7"/>
        <v>0.005181259130907485</v>
      </c>
      <c r="O48" s="37">
        <f>'Mayoría relativa'!O48+'casillas especiales'!K55</f>
        <v>340</v>
      </c>
      <c r="P48" s="36">
        <f t="shared" si="8"/>
        <v>0.005775829850847688</v>
      </c>
      <c r="Q48" s="37">
        <f>'Mayoría relativa'!Q48+'casillas especiales'!L55</f>
        <v>589</v>
      </c>
      <c r="R48" s="36">
        <f t="shared" si="9"/>
        <v>0.010005775829850847</v>
      </c>
      <c r="S48" s="37">
        <f>'Mayoría relativa'!S48+'casillas especiales'!M55</f>
        <v>14</v>
      </c>
      <c r="T48" s="36">
        <f t="shared" si="10"/>
        <v>0.00023782828797608128</v>
      </c>
      <c r="U48" s="37">
        <f>'Mayoría relativa'!U48+'casillas especiales'!N55</f>
        <v>1504</v>
      </c>
      <c r="V48" s="36">
        <f t="shared" si="11"/>
        <v>0.025549553222573303</v>
      </c>
      <c r="W48" s="37">
        <f t="shared" si="0"/>
        <v>58866</v>
      </c>
      <c r="X48" s="56">
        <v>0</v>
      </c>
      <c r="Y48" s="56">
        <v>178827</v>
      </c>
      <c r="Z48" s="106">
        <f t="shared" si="1"/>
        <v>0.32917847975976783</v>
      </c>
    </row>
    <row r="49" spans="1:26" ht="12.75">
      <c r="A49" s="28">
        <v>42</v>
      </c>
      <c r="B49" s="29" t="s">
        <v>29</v>
      </c>
      <c r="C49" s="35">
        <f>'Mayoría relativa'!C49+'casillas especiales'!E56</f>
        <v>25561</v>
      </c>
      <c r="D49" s="36">
        <f t="shared" si="2"/>
        <v>0.28375258098177214</v>
      </c>
      <c r="E49" s="37">
        <f>'Mayoría relativa'!E49+'casillas especiales'!F56</f>
        <v>27806</v>
      </c>
      <c r="F49" s="36">
        <f t="shared" si="3"/>
        <v>0.30867431895384206</v>
      </c>
      <c r="G49" s="117">
        <f>'Mayoría relativa'!G49+'casillas especiales'!G56</f>
        <v>29701</v>
      </c>
      <c r="H49" s="118">
        <f t="shared" si="4"/>
        <v>0.3297107080215803</v>
      </c>
      <c r="I49" s="37">
        <f>'Mayoría relativa'!I49+'casillas especiales'!H56</f>
        <v>1577</v>
      </c>
      <c r="J49" s="36">
        <f t="shared" si="5"/>
        <v>0.017506272063231278</v>
      </c>
      <c r="K49" s="37">
        <f>'Mayoría relativa'!K49+'casillas especiales'!I56</f>
        <v>751</v>
      </c>
      <c r="L49" s="36">
        <f t="shared" si="6"/>
        <v>0.008336848649008681</v>
      </c>
      <c r="M49" s="37">
        <f>'Mayoría relativa'!M49+'casillas especiales'!J56</f>
        <v>589</v>
      </c>
      <c r="N49" s="36">
        <f t="shared" si="7"/>
        <v>0.006538487156146622</v>
      </c>
      <c r="O49" s="37">
        <f>'Mayoría relativa'!O49+'casillas especiales'!K56</f>
        <v>486</v>
      </c>
      <c r="P49" s="36">
        <f t="shared" si="8"/>
        <v>0.005395084478586177</v>
      </c>
      <c r="Q49" s="37">
        <f>'Mayoría relativa'!Q49+'casillas especiales'!L56</f>
        <v>1653</v>
      </c>
      <c r="R49" s="36">
        <f t="shared" si="9"/>
        <v>0.018349947825314714</v>
      </c>
      <c r="S49" s="37">
        <f>'Mayoría relativa'!S49+'casillas especiales'!M56</f>
        <v>38</v>
      </c>
      <c r="T49" s="36">
        <f t="shared" si="10"/>
        <v>0.00042183788104171755</v>
      </c>
      <c r="U49" s="37">
        <f>'Mayoría relativa'!U49+'casillas especiales'!N56</f>
        <v>1920</v>
      </c>
      <c r="V49" s="36">
        <f t="shared" si="11"/>
        <v>0.021313913989476255</v>
      </c>
      <c r="W49" s="37">
        <f t="shared" si="0"/>
        <v>90082</v>
      </c>
      <c r="X49" s="56">
        <v>0</v>
      </c>
      <c r="Y49" s="56">
        <v>252471</v>
      </c>
      <c r="Z49" s="106">
        <f t="shared" si="1"/>
        <v>0.3568013752074496</v>
      </c>
    </row>
    <row r="50" spans="1:26" ht="12.75">
      <c r="A50" s="28">
        <v>43</v>
      </c>
      <c r="B50" s="29" t="s">
        <v>42</v>
      </c>
      <c r="C50" s="111">
        <f>'Mayoría relativa'!C50+'casillas especiales'!E57</f>
        <v>56602</v>
      </c>
      <c r="D50" s="112">
        <f t="shared" si="2"/>
        <v>0.4546162804706638</v>
      </c>
      <c r="E50" s="37">
        <f>'Mayoría relativa'!E50+'casillas especiales'!F57</f>
        <v>39616</v>
      </c>
      <c r="F50" s="36">
        <f t="shared" si="3"/>
        <v>0.3181880245773262</v>
      </c>
      <c r="G50" s="37">
        <f>'Mayoría relativa'!G50+'casillas especiales'!G57</f>
        <v>15729</v>
      </c>
      <c r="H50" s="36">
        <f t="shared" si="4"/>
        <v>0.12633227581221637</v>
      </c>
      <c r="I50" s="37">
        <f>'Mayoría relativa'!I50+'casillas especiales'!H57</f>
        <v>5715</v>
      </c>
      <c r="J50" s="36">
        <f t="shared" si="5"/>
        <v>0.04590177101321232</v>
      </c>
      <c r="K50" s="37">
        <f>'Mayoría relativa'!K50+'casillas especiales'!I57</f>
        <v>1344</v>
      </c>
      <c r="L50" s="36">
        <f t="shared" si="6"/>
        <v>0.010794747198907674</v>
      </c>
      <c r="M50" s="37">
        <f>'Mayoría relativa'!M50+'casillas especiales'!J57</f>
        <v>970</v>
      </c>
      <c r="N50" s="36">
        <f t="shared" si="7"/>
        <v>0.007790851773021164</v>
      </c>
      <c r="O50" s="37">
        <f>'Mayoría relativa'!O50+'casillas especiales'!K57</f>
        <v>1412</v>
      </c>
      <c r="P50" s="36">
        <f t="shared" si="8"/>
        <v>0.011340910003614313</v>
      </c>
      <c r="Q50" s="37">
        <f>'Mayoría relativa'!Q50+'casillas especiales'!L57</f>
        <v>674</v>
      </c>
      <c r="R50" s="36">
        <f t="shared" si="9"/>
        <v>0.005413437211356974</v>
      </c>
      <c r="S50" s="37">
        <f>'Mayoría relativa'!S50+'casillas especiales'!M57</f>
        <v>35</v>
      </c>
      <c r="T50" s="36">
        <f t="shared" si="10"/>
        <v>0.0002811132083048874</v>
      </c>
      <c r="U50" s="37">
        <f>'Mayoría relativa'!U50+'casillas especiales'!N57</f>
        <v>2408</v>
      </c>
      <c r="V50" s="36">
        <f t="shared" si="11"/>
        <v>0.01934058873137625</v>
      </c>
      <c r="W50" s="37">
        <f t="shared" si="0"/>
        <v>124505</v>
      </c>
      <c r="X50" s="56">
        <v>0</v>
      </c>
      <c r="Y50" s="56">
        <v>295079</v>
      </c>
      <c r="Z50" s="106">
        <f t="shared" si="1"/>
        <v>0.4219378539306423</v>
      </c>
    </row>
    <row r="51" spans="1:26" ht="12.75">
      <c r="A51" s="28">
        <v>44</v>
      </c>
      <c r="B51" s="29" t="s">
        <v>43</v>
      </c>
      <c r="C51" s="111">
        <f>'Mayoría relativa'!C51+'casillas especiales'!E58</f>
        <v>37311</v>
      </c>
      <c r="D51" s="112">
        <f t="shared" si="2"/>
        <v>0.4229552797143343</v>
      </c>
      <c r="E51" s="37">
        <f>'Mayoría relativa'!E51+'casillas especiales'!F58</f>
        <v>31535</v>
      </c>
      <c r="F51" s="36">
        <f t="shared" si="3"/>
        <v>0.3574788868106331</v>
      </c>
      <c r="G51" s="37">
        <f>'Mayoría relativa'!G51+'casillas especiales'!G58</f>
        <v>6974</v>
      </c>
      <c r="H51" s="36">
        <f t="shared" si="4"/>
        <v>0.07905684974210735</v>
      </c>
      <c r="I51" s="37">
        <f>'Mayoría relativa'!I51+'casillas especiales'!H58</f>
        <v>3758</v>
      </c>
      <c r="J51" s="36">
        <f t="shared" si="5"/>
        <v>0.042600464773564585</v>
      </c>
      <c r="K51" s="37">
        <f>'Mayoría relativa'!K51+'casillas especiales'!I58</f>
        <v>3742</v>
      </c>
      <c r="L51" s="36">
        <f t="shared" si="6"/>
        <v>0.04241908972396985</v>
      </c>
      <c r="M51" s="37">
        <f>'Mayoría relativa'!M51+'casillas especiales'!J58</f>
        <v>1201</v>
      </c>
      <c r="N51" s="36">
        <f t="shared" si="7"/>
        <v>0.01361446466020518</v>
      </c>
      <c r="O51" s="37">
        <f>'Mayoría relativa'!O51+'casillas especiales'!K58</f>
        <v>635</v>
      </c>
      <c r="P51" s="36">
        <f t="shared" si="8"/>
        <v>0.007198322280791249</v>
      </c>
      <c r="Q51" s="37">
        <f>'Mayoría relativa'!Q51+'casillas especiales'!L58</f>
        <v>783</v>
      </c>
      <c r="R51" s="36">
        <f t="shared" si="9"/>
        <v>0.008876041489542595</v>
      </c>
      <c r="S51" s="37">
        <f>'Mayoría relativa'!S51+'casillas especiales'!M58</f>
        <v>11</v>
      </c>
      <c r="T51" s="36">
        <f t="shared" si="10"/>
        <v>0.00012469534659638383</v>
      </c>
      <c r="U51" s="37">
        <f>'Mayoría relativa'!U51+'casillas especiales'!N58</f>
        <v>2265</v>
      </c>
      <c r="V51" s="36">
        <f t="shared" si="11"/>
        <v>0.025675905458255398</v>
      </c>
      <c r="W51" s="37">
        <f t="shared" si="0"/>
        <v>88215</v>
      </c>
      <c r="X51" s="56">
        <v>0</v>
      </c>
      <c r="Y51" s="56">
        <v>188104</v>
      </c>
      <c r="Z51" s="106">
        <f t="shared" si="1"/>
        <v>0.4689692935822736</v>
      </c>
    </row>
    <row r="52" spans="1:26" ht="12.75">
      <c r="A52" s="30">
        <v>45</v>
      </c>
      <c r="B52" s="31" t="s">
        <v>44</v>
      </c>
      <c r="C52" s="39">
        <f>'Mayoría relativa'!C52+'casillas especiales'!E59</f>
        <v>11722</v>
      </c>
      <c r="D52" s="40">
        <f t="shared" si="2"/>
        <v>0.17088210854702102</v>
      </c>
      <c r="E52" s="113">
        <f>'Mayoría relativa'!E52+'casillas especiales'!F59</f>
        <v>26545</v>
      </c>
      <c r="F52" s="114">
        <f t="shared" si="3"/>
        <v>0.3869702756680321</v>
      </c>
      <c r="G52" s="41">
        <f>'Mayoría relativa'!G52+'casillas especiales'!G59</f>
        <v>10199</v>
      </c>
      <c r="H52" s="40">
        <f t="shared" si="4"/>
        <v>0.1486799714273219</v>
      </c>
      <c r="I52" s="41">
        <f>'Mayoría relativa'!I52+'casillas especiales'!H59</f>
        <v>15158</v>
      </c>
      <c r="J52" s="40">
        <f t="shared" si="5"/>
        <v>0.22097176261352539</v>
      </c>
      <c r="K52" s="41">
        <f>'Mayoría relativa'!K52+'casillas especiales'!I59</f>
        <v>871</v>
      </c>
      <c r="L52" s="40">
        <f t="shared" si="6"/>
        <v>0.012697348280537049</v>
      </c>
      <c r="M52" s="41">
        <f>'Mayoría relativa'!M52+'casillas especiales'!J59</f>
        <v>360</v>
      </c>
      <c r="N52" s="40">
        <f t="shared" si="7"/>
        <v>0.0052480429173287465</v>
      </c>
      <c r="O52" s="41">
        <f>'Mayoría relativa'!O52+'casillas especiales'!K59</f>
        <v>499</v>
      </c>
      <c r="P52" s="40">
        <f t="shared" si="8"/>
        <v>0.007274370599297346</v>
      </c>
      <c r="Q52" s="41">
        <f>'Mayoría relativa'!Q52+'casillas especiales'!L59</f>
        <v>631</v>
      </c>
      <c r="R52" s="40">
        <f t="shared" si="9"/>
        <v>0.009198653002317885</v>
      </c>
      <c r="S52" s="41">
        <f>'Mayoría relativa'!S52+'casillas especiales'!M59</f>
        <v>2</v>
      </c>
      <c r="T52" s="40">
        <f t="shared" si="10"/>
        <v>2.91557939851597E-05</v>
      </c>
      <c r="U52" s="41">
        <f>'Mayoría relativa'!U52+'casillas especiales'!N59</f>
        <v>2610</v>
      </c>
      <c r="V52" s="40">
        <f t="shared" si="11"/>
        <v>0.03804831115063341</v>
      </c>
      <c r="W52" s="41">
        <f t="shared" si="0"/>
        <v>68597</v>
      </c>
      <c r="X52" s="59">
        <v>0</v>
      </c>
      <c r="Y52" s="59">
        <v>129205</v>
      </c>
      <c r="Z52" s="107">
        <f t="shared" si="1"/>
        <v>0.5309159862234434</v>
      </c>
    </row>
    <row r="53" ht="6.75" customHeight="1"/>
    <row r="54" ht="13.5">
      <c r="B54" s="93" t="s">
        <v>70</v>
      </c>
    </row>
    <row r="55" ht="13.5">
      <c r="B55" s="93" t="s">
        <v>61</v>
      </c>
    </row>
    <row r="56" ht="13.5">
      <c r="B56" s="93" t="s">
        <v>66</v>
      </c>
    </row>
    <row r="57" ht="13.5">
      <c r="B57" s="93" t="s">
        <v>67</v>
      </c>
    </row>
    <row r="58" ht="13.5">
      <c r="B58" s="93" t="s">
        <v>77</v>
      </c>
    </row>
    <row r="59" ht="13.5">
      <c r="B59" s="93" t="s">
        <v>78</v>
      </c>
    </row>
    <row r="60" ht="13.5">
      <c r="B60" s="93" t="s">
        <v>79</v>
      </c>
    </row>
    <row r="61" ht="13.5">
      <c r="B61" s="93" t="s">
        <v>87</v>
      </c>
    </row>
  </sheetData>
  <sheetProtection/>
  <mergeCells count="1">
    <mergeCell ref="A7:B7"/>
  </mergeCells>
  <conditionalFormatting sqref="C8:C52">
    <cfRule type="cellIs" priority="1" dxfId="0" operator="equal" stopIfTrue="1">
      <formula>#REF!</formula>
    </cfRule>
  </conditionalFormatting>
  <conditionalFormatting sqref="D8:D52">
    <cfRule type="cellIs" priority="2" dxfId="0" operator="equal" stopIfTrue="1">
      <formula>#REF!</formula>
    </cfRule>
  </conditionalFormatting>
  <conditionalFormatting sqref="E8:E52">
    <cfRule type="cellIs" priority="3" dxfId="2" operator="equal" stopIfTrue="1">
      <formula>#REF!</formula>
    </cfRule>
  </conditionalFormatting>
  <conditionalFormatting sqref="F8:F52">
    <cfRule type="cellIs" priority="4" dxfId="2" operator="equal" stopIfTrue="1">
      <formula>#REF!</formula>
    </cfRule>
  </conditionalFormatting>
  <conditionalFormatting sqref="G8:G52">
    <cfRule type="cellIs" priority="5" dxfId="1" operator="equal" stopIfTrue="1">
      <formula>#REF!</formula>
    </cfRule>
  </conditionalFormatting>
  <conditionalFormatting sqref="H8:H52">
    <cfRule type="cellIs" priority="6" dxfId="1" operator="equal" stopIfTrue="1">
      <formula>#REF!</formula>
    </cfRule>
  </conditionalFormatting>
  <printOptions horizontalCentered="1"/>
  <pageMargins left="0.984251968503937" right="0.5905511811023623" top="0.3937007874015748" bottom="0.3937007874015748" header="0.1968503937007874" footer="0.1968503937007874"/>
  <pageSetup fitToHeight="1" fitToWidth="1" horizontalDpi="600" verticalDpi="600" orientation="landscape" paperSize="5" scale="64" r:id="rId2"/>
  <headerFooter alignWithMargins="0">
    <oddFooter>&amp;L&amp;F - &amp;A&amp;C&amp;"Arial Narrow,Normal"&amp;9Página &amp;P de &amp;N&amp;R&amp;"Arial Narrow,Normal"&amp;9&amp;D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3">
      <pane xSplit="4" ySplit="5" topLeftCell="E8" activePane="bottomRight" state="frozen"/>
      <selection pane="topLeft" activeCell="C21" sqref="C21"/>
      <selection pane="topRight" activeCell="C21" sqref="C21"/>
      <selection pane="bottomLeft" activeCell="C21" sqref="C21"/>
      <selection pane="bottomRight" activeCell="C21" sqref="C21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4" width="7.421875" style="0" customWidth="1"/>
    <col min="5" max="5" width="9.7109375" style="0" customWidth="1"/>
    <col min="6" max="6" width="12.140625" style="0" customWidth="1"/>
    <col min="7" max="12" width="9.7109375" style="0" customWidth="1"/>
    <col min="13" max="14" width="10.140625" style="0" customWidth="1"/>
    <col min="15" max="15" width="11.7109375" style="0" customWidth="1"/>
  </cols>
  <sheetData>
    <row r="1" spans="1:15" ht="15.75">
      <c r="A1" t="s">
        <v>8</v>
      </c>
      <c r="D1" s="2" t="s">
        <v>54</v>
      </c>
      <c r="E1" s="2"/>
      <c r="O1" s="1"/>
    </row>
    <row r="2" spans="4:15" ht="15">
      <c r="D2" s="20" t="s">
        <v>53</v>
      </c>
      <c r="E2" s="4"/>
      <c r="O2" s="1"/>
    </row>
    <row r="3" spans="4:15" ht="15">
      <c r="D3" s="4" t="s">
        <v>57</v>
      </c>
      <c r="E3" s="5"/>
      <c r="O3" s="1"/>
    </row>
    <row r="4" spans="1:15" ht="10.5" customHeight="1">
      <c r="A4" s="6"/>
      <c r="B4" s="7"/>
      <c r="C4" s="7"/>
      <c r="D4" s="7"/>
      <c r="E4" s="6"/>
      <c r="F4" s="6"/>
      <c r="G4" s="8"/>
      <c r="H4" s="8"/>
      <c r="I4" s="7"/>
      <c r="J4" s="7"/>
      <c r="K4" s="7"/>
      <c r="L4" s="7"/>
      <c r="M4" s="7"/>
      <c r="N4" s="7"/>
      <c r="O4" s="9"/>
    </row>
    <row r="5" spans="1:15" ht="28.5" customHeight="1">
      <c r="A5" s="74" t="s">
        <v>9</v>
      </c>
      <c r="B5" s="75"/>
      <c r="C5" s="76" t="s">
        <v>55</v>
      </c>
      <c r="D5" s="76" t="s">
        <v>56</v>
      </c>
      <c r="E5" s="70" t="s">
        <v>0</v>
      </c>
      <c r="F5" s="77" t="s">
        <v>49</v>
      </c>
      <c r="G5" s="70" t="s">
        <v>1</v>
      </c>
      <c r="H5" s="70" t="s">
        <v>2</v>
      </c>
      <c r="I5" s="70" t="s">
        <v>6</v>
      </c>
      <c r="J5" s="70" t="s">
        <v>3</v>
      </c>
      <c r="K5" s="70" t="s">
        <v>4</v>
      </c>
      <c r="L5" s="70" t="s">
        <v>7</v>
      </c>
      <c r="M5" s="70" t="s">
        <v>10</v>
      </c>
      <c r="N5" s="77" t="s">
        <v>50</v>
      </c>
      <c r="O5" s="78" t="s">
        <v>5</v>
      </c>
    </row>
    <row r="6" spans="1:15" ht="12.75">
      <c r="A6" s="121" t="s">
        <v>52</v>
      </c>
      <c r="B6" s="122"/>
      <c r="C6" s="25"/>
      <c r="D6" s="25"/>
      <c r="E6" s="61">
        <f aca="true" t="shared" si="0" ref="E6:O6">SUM(E8:E59)</f>
        <v>804</v>
      </c>
      <c r="F6" s="61">
        <f t="shared" si="0"/>
        <v>1424</v>
      </c>
      <c r="G6" s="61">
        <f t="shared" si="0"/>
        <v>539</v>
      </c>
      <c r="H6" s="61">
        <f t="shared" si="0"/>
        <v>125</v>
      </c>
      <c r="I6" s="61">
        <f t="shared" si="0"/>
        <v>46</v>
      </c>
      <c r="J6" s="61">
        <f t="shared" si="0"/>
        <v>18</v>
      </c>
      <c r="K6" s="61">
        <f t="shared" si="0"/>
        <v>24</v>
      </c>
      <c r="L6" s="61">
        <f t="shared" si="0"/>
        <v>46</v>
      </c>
      <c r="M6" s="61">
        <f t="shared" si="0"/>
        <v>4</v>
      </c>
      <c r="N6" s="61">
        <f t="shared" si="0"/>
        <v>92</v>
      </c>
      <c r="O6" s="61">
        <f t="shared" si="0"/>
        <v>3122</v>
      </c>
    </row>
    <row r="7" spans="1:15" ht="12.75">
      <c r="A7" s="22"/>
      <c r="B7" s="23" t="s">
        <v>51</v>
      </c>
      <c r="C7" s="23"/>
      <c r="D7" s="23"/>
      <c r="E7" s="62">
        <f>E6/$O6</f>
        <v>0.2575272261370916</v>
      </c>
      <c r="F7" s="62">
        <f aca="true" t="shared" si="1" ref="F7:O7">F6/$O6</f>
        <v>0.4561178731582319</v>
      </c>
      <c r="G7" s="62">
        <f t="shared" si="1"/>
        <v>0.1726457399103139</v>
      </c>
      <c r="H7" s="62">
        <f t="shared" si="1"/>
        <v>0.04003843689942345</v>
      </c>
      <c r="I7" s="62">
        <f t="shared" si="1"/>
        <v>0.014734144778987828</v>
      </c>
      <c r="J7" s="62">
        <f t="shared" si="1"/>
        <v>0.005765534913516977</v>
      </c>
      <c r="K7" s="62">
        <f t="shared" si="1"/>
        <v>0.007687379884689302</v>
      </c>
      <c r="L7" s="62">
        <f t="shared" si="1"/>
        <v>0.014734144778987828</v>
      </c>
      <c r="M7" s="62">
        <f t="shared" si="1"/>
        <v>0.0012812299807815502</v>
      </c>
      <c r="N7" s="62">
        <f t="shared" si="1"/>
        <v>0.029468289557975657</v>
      </c>
      <c r="O7" s="62">
        <f t="shared" si="1"/>
        <v>1</v>
      </c>
    </row>
    <row r="8" spans="1:15" ht="12.75">
      <c r="A8" s="26">
        <v>1</v>
      </c>
      <c r="B8" s="27" t="s">
        <v>13</v>
      </c>
      <c r="C8" s="43">
        <v>5247</v>
      </c>
      <c r="D8" s="44" t="s">
        <v>58</v>
      </c>
      <c r="E8" s="49">
        <v>74</v>
      </c>
      <c r="F8" s="50">
        <v>84</v>
      </c>
      <c r="G8" s="50">
        <v>21</v>
      </c>
      <c r="H8" s="50">
        <v>6</v>
      </c>
      <c r="I8" s="50">
        <v>4</v>
      </c>
      <c r="J8" s="50">
        <v>4</v>
      </c>
      <c r="K8" s="50">
        <v>4</v>
      </c>
      <c r="L8" s="50">
        <v>4</v>
      </c>
      <c r="M8" s="50">
        <v>0</v>
      </c>
      <c r="N8" s="50">
        <v>8</v>
      </c>
      <c r="O8" s="51">
        <f>SUM(E8:N8)</f>
        <v>209</v>
      </c>
    </row>
    <row r="9" spans="1:15" ht="12.75">
      <c r="A9" s="28">
        <v>2</v>
      </c>
      <c r="B9" s="29" t="s">
        <v>13</v>
      </c>
      <c r="C9" s="45">
        <v>5184</v>
      </c>
      <c r="D9" s="46" t="s">
        <v>58</v>
      </c>
      <c r="E9" s="52">
        <v>75</v>
      </c>
      <c r="F9" s="53">
        <v>101</v>
      </c>
      <c r="G9" s="53">
        <v>31</v>
      </c>
      <c r="H9" s="53">
        <v>5</v>
      </c>
      <c r="I9" s="53">
        <v>6</v>
      </c>
      <c r="J9" s="53">
        <v>1</v>
      </c>
      <c r="K9" s="53">
        <v>2</v>
      </c>
      <c r="L9" s="53">
        <v>3</v>
      </c>
      <c r="M9" s="53">
        <v>0</v>
      </c>
      <c r="N9" s="53">
        <v>7</v>
      </c>
      <c r="O9" s="54">
        <f aca="true" t="shared" si="2" ref="O9:O59">SUM(E9:N9)</f>
        <v>231</v>
      </c>
    </row>
    <row r="10" spans="1:15" ht="12.75">
      <c r="A10" s="28">
        <v>3</v>
      </c>
      <c r="B10" s="29" t="s">
        <v>14</v>
      </c>
      <c r="C10" s="45">
        <v>4403</v>
      </c>
      <c r="D10" s="46" t="s">
        <v>58</v>
      </c>
      <c r="E10" s="52">
        <v>8</v>
      </c>
      <c r="F10" s="53">
        <v>12</v>
      </c>
      <c r="G10" s="53">
        <v>2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2</v>
      </c>
      <c r="O10" s="54">
        <f t="shared" si="2"/>
        <v>24</v>
      </c>
    </row>
    <row r="11" spans="1:15" ht="12.75">
      <c r="A11" s="123">
        <v>4</v>
      </c>
      <c r="B11" s="125" t="s">
        <v>46</v>
      </c>
      <c r="C11" s="45">
        <v>3840</v>
      </c>
      <c r="D11" s="46" t="s">
        <v>58</v>
      </c>
      <c r="E11" s="52">
        <v>1</v>
      </c>
      <c r="F11" s="53">
        <v>2</v>
      </c>
      <c r="G11" s="53">
        <v>2</v>
      </c>
      <c r="H11" s="53">
        <v>1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4">
        <f t="shared" si="2"/>
        <v>6</v>
      </c>
    </row>
    <row r="12" spans="1:15" ht="12.75">
      <c r="A12" s="123"/>
      <c r="B12" s="125"/>
      <c r="C12" s="45">
        <v>4133</v>
      </c>
      <c r="D12" s="46" t="s">
        <v>58</v>
      </c>
      <c r="E12" s="52">
        <v>12</v>
      </c>
      <c r="F12" s="53">
        <v>29</v>
      </c>
      <c r="G12" s="53">
        <v>3</v>
      </c>
      <c r="H12" s="53">
        <v>2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4">
        <f t="shared" si="2"/>
        <v>46</v>
      </c>
    </row>
    <row r="13" spans="1:15" ht="12.75">
      <c r="A13" s="28">
        <v>5</v>
      </c>
      <c r="B13" s="29" t="s">
        <v>15</v>
      </c>
      <c r="C13" s="45">
        <v>500</v>
      </c>
      <c r="D13" s="46" t="s">
        <v>58</v>
      </c>
      <c r="E13" s="52">
        <v>19</v>
      </c>
      <c r="F13" s="53">
        <v>7</v>
      </c>
      <c r="G13" s="53">
        <v>7</v>
      </c>
      <c r="H13" s="53">
        <v>0</v>
      </c>
      <c r="I13" s="53">
        <v>2</v>
      </c>
      <c r="J13" s="53">
        <v>2</v>
      </c>
      <c r="K13" s="53">
        <v>1</v>
      </c>
      <c r="L13" s="53">
        <v>2</v>
      </c>
      <c r="M13" s="53">
        <v>0</v>
      </c>
      <c r="N13" s="53">
        <v>0</v>
      </c>
      <c r="O13" s="54">
        <f t="shared" si="2"/>
        <v>40</v>
      </c>
    </row>
    <row r="14" spans="1:15" ht="12.75">
      <c r="A14" s="28">
        <v>6</v>
      </c>
      <c r="B14" s="29" t="s">
        <v>16</v>
      </c>
      <c r="C14" s="45">
        <v>4719</v>
      </c>
      <c r="D14" s="46" t="s">
        <v>58</v>
      </c>
      <c r="E14" s="52">
        <v>1</v>
      </c>
      <c r="F14" s="53">
        <v>14</v>
      </c>
      <c r="G14" s="53">
        <v>13</v>
      </c>
      <c r="H14" s="53">
        <v>0</v>
      </c>
      <c r="I14" s="53">
        <v>1</v>
      </c>
      <c r="J14" s="53">
        <v>0</v>
      </c>
      <c r="K14" s="53">
        <v>0</v>
      </c>
      <c r="L14" s="53">
        <v>0</v>
      </c>
      <c r="M14" s="53">
        <v>0</v>
      </c>
      <c r="N14" s="53">
        <v>1</v>
      </c>
      <c r="O14" s="54">
        <f t="shared" si="2"/>
        <v>30</v>
      </c>
    </row>
    <row r="15" spans="1:15" ht="12.75">
      <c r="A15" s="123">
        <v>7</v>
      </c>
      <c r="B15" s="125" t="s">
        <v>47</v>
      </c>
      <c r="C15" s="45">
        <v>3861</v>
      </c>
      <c r="D15" s="46" t="s">
        <v>58</v>
      </c>
      <c r="E15" s="52">
        <v>2</v>
      </c>
      <c r="F15" s="53">
        <v>3</v>
      </c>
      <c r="G15" s="53">
        <v>2</v>
      </c>
      <c r="H15" s="53">
        <v>3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4">
        <f t="shared" si="2"/>
        <v>10</v>
      </c>
    </row>
    <row r="16" spans="1:15" ht="12.75">
      <c r="A16" s="123"/>
      <c r="B16" s="125"/>
      <c r="C16" s="45">
        <v>4432</v>
      </c>
      <c r="D16" s="46" t="s">
        <v>58</v>
      </c>
      <c r="E16" s="52">
        <v>10</v>
      </c>
      <c r="F16" s="53">
        <v>26</v>
      </c>
      <c r="G16" s="53">
        <v>6</v>
      </c>
      <c r="H16" s="53">
        <v>3</v>
      </c>
      <c r="I16" s="53">
        <v>0</v>
      </c>
      <c r="J16" s="53">
        <v>0</v>
      </c>
      <c r="K16" s="53">
        <v>0</v>
      </c>
      <c r="L16" s="53">
        <v>2</v>
      </c>
      <c r="M16" s="53">
        <v>1</v>
      </c>
      <c r="N16" s="53">
        <v>1</v>
      </c>
      <c r="O16" s="54">
        <f t="shared" si="2"/>
        <v>49</v>
      </c>
    </row>
    <row r="17" spans="1:15" ht="12.75">
      <c r="A17" s="28">
        <v>8</v>
      </c>
      <c r="B17" s="29" t="s">
        <v>17</v>
      </c>
      <c r="C17" s="45">
        <v>4606</v>
      </c>
      <c r="D17" s="46" t="s">
        <v>58</v>
      </c>
      <c r="E17" s="52">
        <v>9</v>
      </c>
      <c r="F17" s="53">
        <v>12</v>
      </c>
      <c r="G17" s="53">
        <v>7</v>
      </c>
      <c r="H17" s="53">
        <v>1</v>
      </c>
      <c r="I17" s="53">
        <v>1</v>
      </c>
      <c r="J17" s="53">
        <v>0</v>
      </c>
      <c r="K17" s="53">
        <v>0</v>
      </c>
      <c r="L17" s="53">
        <v>1</v>
      </c>
      <c r="M17" s="53">
        <v>0</v>
      </c>
      <c r="N17" s="53">
        <v>0</v>
      </c>
      <c r="O17" s="54">
        <f t="shared" si="2"/>
        <v>31</v>
      </c>
    </row>
    <row r="18" spans="1:15" ht="12.75">
      <c r="A18" s="28">
        <v>9</v>
      </c>
      <c r="B18" s="29" t="s">
        <v>18</v>
      </c>
      <c r="C18" s="45">
        <v>4258</v>
      </c>
      <c r="D18" s="46" t="s">
        <v>58</v>
      </c>
      <c r="E18" s="52">
        <v>2</v>
      </c>
      <c r="F18" s="53">
        <v>19</v>
      </c>
      <c r="G18" s="53">
        <v>17</v>
      </c>
      <c r="H18" s="53">
        <v>3</v>
      </c>
      <c r="I18" s="53">
        <v>2</v>
      </c>
      <c r="J18" s="53">
        <v>0</v>
      </c>
      <c r="K18" s="53">
        <v>1</v>
      </c>
      <c r="L18" s="53">
        <v>0</v>
      </c>
      <c r="M18" s="53">
        <v>0</v>
      </c>
      <c r="N18" s="53">
        <v>2</v>
      </c>
      <c r="O18" s="54">
        <f t="shared" si="2"/>
        <v>46</v>
      </c>
    </row>
    <row r="19" spans="1:15" ht="12.75">
      <c r="A19" s="123">
        <v>10</v>
      </c>
      <c r="B19" s="125" t="s">
        <v>19</v>
      </c>
      <c r="C19" s="45">
        <v>5660</v>
      </c>
      <c r="D19" s="46" t="s">
        <v>58</v>
      </c>
      <c r="E19" s="52">
        <v>32</v>
      </c>
      <c r="F19" s="53">
        <v>28</v>
      </c>
      <c r="G19" s="53">
        <v>16</v>
      </c>
      <c r="H19" s="53">
        <v>7</v>
      </c>
      <c r="I19" s="53">
        <v>2</v>
      </c>
      <c r="J19" s="53">
        <v>1</v>
      </c>
      <c r="K19" s="53">
        <v>0</v>
      </c>
      <c r="L19" s="53">
        <v>3</v>
      </c>
      <c r="M19" s="53">
        <v>0</v>
      </c>
      <c r="N19" s="53">
        <v>1</v>
      </c>
      <c r="O19" s="54">
        <f t="shared" si="2"/>
        <v>90</v>
      </c>
    </row>
    <row r="20" spans="1:15" ht="12.75">
      <c r="A20" s="123"/>
      <c r="B20" s="125"/>
      <c r="C20" s="45">
        <v>5783</v>
      </c>
      <c r="D20" s="46" t="s">
        <v>58</v>
      </c>
      <c r="E20" s="52">
        <v>4</v>
      </c>
      <c r="F20" s="53">
        <v>5</v>
      </c>
      <c r="G20" s="53">
        <v>4</v>
      </c>
      <c r="H20" s="53">
        <v>1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1</v>
      </c>
      <c r="O20" s="54">
        <f t="shared" si="2"/>
        <v>15</v>
      </c>
    </row>
    <row r="21" spans="1:15" ht="12.75">
      <c r="A21" s="28">
        <v>11</v>
      </c>
      <c r="B21" s="29" t="s">
        <v>20</v>
      </c>
      <c r="C21" s="45">
        <v>4148</v>
      </c>
      <c r="D21" s="46" t="s">
        <v>58</v>
      </c>
      <c r="E21" s="52">
        <v>10</v>
      </c>
      <c r="F21" s="53">
        <v>9</v>
      </c>
      <c r="G21" s="53">
        <v>7</v>
      </c>
      <c r="H21" s="53">
        <v>2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4">
        <f t="shared" si="2"/>
        <v>28</v>
      </c>
    </row>
    <row r="22" spans="1:15" ht="12.75">
      <c r="A22" s="28">
        <v>12</v>
      </c>
      <c r="B22" s="29" t="s">
        <v>21</v>
      </c>
      <c r="C22" s="45">
        <v>3864</v>
      </c>
      <c r="D22" s="46" t="s">
        <v>58</v>
      </c>
      <c r="E22" s="52">
        <v>8</v>
      </c>
      <c r="F22" s="53">
        <v>8</v>
      </c>
      <c r="G22" s="53">
        <v>3</v>
      </c>
      <c r="H22" s="53">
        <v>0</v>
      </c>
      <c r="I22" s="53">
        <v>0</v>
      </c>
      <c r="J22" s="53">
        <v>0</v>
      </c>
      <c r="K22" s="53">
        <v>1</v>
      </c>
      <c r="L22" s="53">
        <v>0</v>
      </c>
      <c r="M22" s="53">
        <v>0</v>
      </c>
      <c r="N22" s="53">
        <v>2</v>
      </c>
      <c r="O22" s="54">
        <f t="shared" si="2"/>
        <v>22</v>
      </c>
    </row>
    <row r="23" spans="1:15" ht="12.75">
      <c r="A23" s="28">
        <v>13</v>
      </c>
      <c r="B23" s="29" t="s">
        <v>22</v>
      </c>
      <c r="C23" s="45">
        <v>418</v>
      </c>
      <c r="D23" s="46" t="s">
        <v>58</v>
      </c>
      <c r="E23" s="52">
        <v>17</v>
      </c>
      <c r="F23" s="53">
        <v>28</v>
      </c>
      <c r="G23" s="53">
        <v>4</v>
      </c>
      <c r="H23" s="53">
        <v>3</v>
      </c>
      <c r="I23" s="53">
        <v>0</v>
      </c>
      <c r="J23" s="53">
        <v>1</v>
      </c>
      <c r="K23" s="53">
        <v>0</v>
      </c>
      <c r="L23" s="53">
        <v>0</v>
      </c>
      <c r="M23" s="53">
        <v>0</v>
      </c>
      <c r="N23" s="53">
        <v>1</v>
      </c>
      <c r="O23" s="54">
        <f t="shared" si="2"/>
        <v>54</v>
      </c>
    </row>
    <row r="24" spans="1:15" ht="12.75">
      <c r="A24" s="28">
        <v>14</v>
      </c>
      <c r="B24" s="29" t="s">
        <v>23</v>
      </c>
      <c r="C24" s="45">
        <v>2262</v>
      </c>
      <c r="D24" s="46" t="s">
        <v>58</v>
      </c>
      <c r="E24" s="52">
        <v>32</v>
      </c>
      <c r="F24" s="53">
        <v>37</v>
      </c>
      <c r="G24" s="53">
        <v>10</v>
      </c>
      <c r="H24" s="53">
        <v>2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3</v>
      </c>
      <c r="O24" s="54">
        <f t="shared" si="2"/>
        <v>84</v>
      </c>
    </row>
    <row r="25" spans="1:15" ht="12.75">
      <c r="A25" s="28">
        <v>15</v>
      </c>
      <c r="B25" s="29" t="s">
        <v>24</v>
      </c>
      <c r="C25" s="45">
        <v>2191</v>
      </c>
      <c r="D25" s="46" t="s">
        <v>58</v>
      </c>
      <c r="E25" s="52">
        <v>10</v>
      </c>
      <c r="F25" s="53">
        <v>22</v>
      </c>
      <c r="G25" s="53">
        <v>2</v>
      </c>
      <c r="H25" s="53">
        <v>1</v>
      </c>
      <c r="I25" s="53">
        <v>1</v>
      </c>
      <c r="J25" s="53">
        <v>0</v>
      </c>
      <c r="K25" s="53">
        <v>0</v>
      </c>
      <c r="L25" s="53">
        <v>2</v>
      </c>
      <c r="M25" s="53">
        <v>0</v>
      </c>
      <c r="N25" s="53">
        <v>4</v>
      </c>
      <c r="O25" s="54">
        <f t="shared" si="2"/>
        <v>42</v>
      </c>
    </row>
    <row r="26" spans="1:15" ht="12.75">
      <c r="A26" s="28">
        <v>16</v>
      </c>
      <c r="B26" s="29" t="s">
        <v>25</v>
      </c>
      <c r="C26" s="45">
        <v>336</v>
      </c>
      <c r="D26" s="46" t="s">
        <v>58</v>
      </c>
      <c r="E26" s="52">
        <v>28</v>
      </c>
      <c r="F26" s="53">
        <v>58</v>
      </c>
      <c r="G26" s="53">
        <v>8</v>
      </c>
      <c r="H26" s="53">
        <v>0</v>
      </c>
      <c r="I26" s="53">
        <v>1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4">
        <f t="shared" si="2"/>
        <v>95</v>
      </c>
    </row>
    <row r="27" spans="1:15" ht="12.75">
      <c r="A27" s="28">
        <v>17</v>
      </c>
      <c r="B27" s="29" t="s">
        <v>26</v>
      </c>
      <c r="C27" s="45">
        <v>2010</v>
      </c>
      <c r="D27" s="46" t="s">
        <v>58</v>
      </c>
      <c r="E27" s="52">
        <v>3</v>
      </c>
      <c r="F27" s="53">
        <v>11</v>
      </c>
      <c r="G27" s="53">
        <v>2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4">
        <f t="shared" si="2"/>
        <v>16</v>
      </c>
    </row>
    <row r="28" spans="1:15" ht="12.75">
      <c r="A28" s="28">
        <v>18</v>
      </c>
      <c r="B28" s="29" t="s">
        <v>48</v>
      </c>
      <c r="C28" s="45">
        <v>4869</v>
      </c>
      <c r="D28" s="46" t="s">
        <v>58</v>
      </c>
      <c r="E28" s="52">
        <v>45</v>
      </c>
      <c r="F28" s="53">
        <v>50</v>
      </c>
      <c r="G28" s="53">
        <v>10</v>
      </c>
      <c r="H28" s="53">
        <v>2</v>
      </c>
      <c r="I28" s="53">
        <v>1</v>
      </c>
      <c r="J28" s="53">
        <v>1</v>
      </c>
      <c r="K28" s="53">
        <v>2</v>
      </c>
      <c r="L28" s="53">
        <v>1</v>
      </c>
      <c r="M28" s="53">
        <v>0</v>
      </c>
      <c r="N28" s="53">
        <v>2</v>
      </c>
      <c r="O28" s="54">
        <f t="shared" si="2"/>
        <v>114</v>
      </c>
    </row>
    <row r="29" spans="1:15" ht="12.75">
      <c r="A29" s="28">
        <v>19</v>
      </c>
      <c r="B29" s="29" t="s">
        <v>27</v>
      </c>
      <c r="C29" s="45">
        <v>680</v>
      </c>
      <c r="D29" s="46" t="s">
        <v>58</v>
      </c>
      <c r="E29" s="52">
        <v>6</v>
      </c>
      <c r="F29" s="53">
        <v>17</v>
      </c>
      <c r="G29" s="53">
        <v>2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4">
        <f t="shared" si="2"/>
        <v>25</v>
      </c>
    </row>
    <row r="30" spans="1:15" ht="12.75">
      <c r="A30" s="28">
        <v>20</v>
      </c>
      <c r="B30" s="29" t="s">
        <v>28</v>
      </c>
      <c r="C30" s="45">
        <v>5880</v>
      </c>
      <c r="D30" s="46" t="s">
        <v>58</v>
      </c>
      <c r="E30" s="52">
        <v>4</v>
      </c>
      <c r="F30" s="53">
        <v>21</v>
      </c>
      <c r="G30" s="53">
        <v>2</v>
      </c>
      <c r="H30" s="53">
        <v>1</v>
      </c>
      <c r="I30" s="53">
        <v>1</v>
      </c>
      <c r="J30" s="53">
        <v>0</v>
      </c>
      <c r="K30" s="53">
        <v>0</v>
      </c>
      <c r="L30" s="53">
        <v>1</v>
      </c>
      <c r="M30" s="53">
        <v>1</v>
      </c>
      <c r="N30" s="53">
        <v>1</v>
      </c>
      <c r="O30" s="54">
        <f t="shared" si="2"/>
        <v>32</v>
      </c>
    </row>
    <row r="31" spans="1:15" ht="12.75">
      <c r="A31" s="28">
        <v>21</v>
      </c>
      <c r="B31" s="29" t="s">
        <v>29</v>
      </c>
      <c r="C31" s="45">
        <v>1302</v>
      </c>
      <c r="D31" s="46" t="s">
        <v>58</v>
      </c>
      <c r="E31" s="52">
        <v>20</v>
      </c>
      <c r="F31" s="53">
        <v>41</v>
      </c>
      <c r="G31" s="53">
        <v>17</v>
      </c>
      <c r="H31" s="53">
        <v>3</v>
      </c>
      <c r="I31" s="53">
        <v>0</v>
      </c>
      <c r="J31" s="53">
        <v>1</v>
      </c>
      <c r="K31" s="53">
        <v>0</v>
      </c>
      <c r="L31" s="53">
        <v>2</v>
      </c>
      <c r="M31" s="53">
        <v>0</v>
      </c>
      <c r="N31" s="53">
        <v>0</v>
      </c>
      <c r="O31" s="54">
        <f t="shared" si="2"/>
        <v>84</v>
      </c>
    </row>
    <row r="32" spans="1:15" ht="12.75">
      <c r="A32" s="28">
        <v>22</v>
      </c>
      <c r="B32" s="29" t="s">
        <v>29</v>
      </c>
      <c r="C32" s="45">
        <v>1534</v>
      </c>
      <c r="D32" s="46" t="s">
        <v>58</v>
      </c>
      <c r="E32" s="52">
        <v>14</v>
      </c>
      <c r="F32" s="53">
        <v>21</v>
      </c>
      <c r="G32" s="53">
        <v>8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1</v>
      </c>
      <c r="N32" s="53">
        <v>1</v>
      </c>
      <c r="O32" s="54">
        <f t="shared" si="2"/>
        <v>45</v>
      </c>
    </row>
    <row r="33" spans="1:15" ht="12.75">
      <c r="A33" s="28">
        <v>23</v>
      </c>
      <c r="B33" s="29" t="s">
        <v>30</v>
      </c>
      <c r="C33" s="45">
        <v>4619</v>
      </c>
      <c r="D33" s="46" t="s">
        <v>58</v>
      </c>
      <c r="E33" s="52">
        <v>15</v>
      </c>
      <c r="F33" s="53">
        <v>20</v>
      </c>
      <c r="G33" s="53">
        <v>16</v>
      </c>
      <c r="H33" s="53">
        <v>1</v>
      </c>
      <c r="I33" s="53">
        <v>1</v>
      </c>
      <c r="J33" s="53">
        <v>0</v>
      </c>
      <c r="K33" s="53">
        <v>2</v>
      </c>
      <c r="L33" s="53">
        <v>2</v>
      </c>
      <c r="M33" s="53">
        <v>0</v>
      </c>
      <c r="N33" s="53">
        <v>2</v>
      </c>
      <c r="O33" s="54">
        <f t="shared" si="2"/>
        <v>59</v>
      </c>
    </row>
    <row r="34" spans="1:15" ht="12.75">
      <c r="A34" s="28">
        <v>24</v>
      </c>
      <c r="B34" s="29" t="s">
        <v>31</v>
      </c>
      <c r="C34" s="45">
        <v>3160</v>
      </c>
      <c r="D34" s="46" t="s">
        <v>58</v>
      </c>
      <c r="E34" s="52">
        <v>20</v>
      </c>
      <c r="F34" s="53">
        <v>11</v>
      </c>
      <c r="G34" s="53">
        <v>29</v>
      </c>
      <c r="H34" s="53">
        <v>0</v>
      </c>
      <c r="I34" s="53">
        <v>1</v>
      </c>
      <c r="J34" s="53">
        <v>1</v>
      </c>
      <c r="K34" s="53">
        <v>0</v>
      </c>
      <c r="L34" s="53">
        <v>10</v>
      </c>
      <c r="M34" s="53">
        <v>0</v>
      </c>
      <c r="N34" s="53">
        <v>4</v>
      </c>
      <c r="O34" s="54">
        <f t="shared" si="2"/>
        <v>76</v>
      </c>
    </row>
    <row r="35" spans="1:15" ht="12.75">
      <c r="A35" s="28">
        <v>25</v>
      </c>
      <c r="B35" s="29" t="s">
        <v>31</v>
      </c>
      <c r="C35" s="45">
        <v>3459</v>
      </c>
      <c r="D35" s="46" t="s">
        <v>58</v>
      </c>
      <c r="E35" s="52">
        <v>9</v>
      </c>
      <c r="F35" s="53">
        <v>46</v>
      </c>
      <c r="G35" s="53">
        <v>53</v>
      </c>
      <c r="H35" s="53">
        <v>1</v>
      </c>
      <c r="I35" s="53">
        <v>2</v>
      </c>
      <c r="J35" s="53">
        <v>0</v>
      </c>
      <c r="K35" s="53">
        <v>3</v>
      </c>
      <c r="L35" s="53">
        <v>1</v>
      </c>
      <c r="M35" s="53">
        <v>1</v>
      </c>
      <c r="N35" s="53">
        <v>9</v>
      </c>
      <c r="O35" s="54">
        <f t="shared" si="2"/>
        <v>125</v>
      </c>
    </row>
    <row r="36" spans="1:15" ht="12.75">
      <c r="A36" s="28">
        <v>26</v>
      </c>
      <c r="B36" s="29" t="s">
        <v>31</v>
      </c>
      <c r="C36" s="45">
        <v>3392</v>
      </c>
      <c r="D36" s="46" t="s">
        <v>58</v>
      </c>
      <c r="E36" s="52">
        <v>22</v>
      </c>
      <c r="F36" s="53">
        <v>30</v>
      </c>
      <c r="G36" s="53">
        <v>35</v>
      </c>
      <c r="H36" s="53">
        <v>3</v>
      </c>
      <c r="I36" s="53">
        <v>2</v>
      </c>
      <c r="J36" s="53">
        <v>0</v>
      </c>
      <c r="K36" s="53">
        <v>0</v>
      </c>
      <c r="L36" s="53">
        <v>0</v>
      </c>
      <c r="M36" s="53">
        <v>0</v>
      </c>
      <c r="N36" s="53">
        <v>3</v>
      </c>
      <c r="O36" s="54">
        <f t="shared" si="2"/>
        <v>95</v>
      </c>
    </row>
    <row r="37" spans="1:15" ht="12.75">
      <c r="A37" s="28">
        <v>27</v>
      </c>
      <c r="B37" s="29" t="s">
        <v>32</v>
      </c>
      <c r="C37" s="45">
        <v>1026</v>
      </c>
      <c r="D37" s="46" t="s">
        <v>58</v>
      </c>
      <c r="E37" s="52">
        <v>8</v>
      </c>
      <c r="F37" s="53">
        <v>8</v>
      </c>
      <c r="G37" s="53">
        <v>11</v>
      </c>
      <c r="H37" s="53">
        <v>1</v>
      </c>
      <c r="I37" s="53">
        <v>0</v>
      </c>
      <c r="J37" s="53">
        <v>0</v>
      </c>
      <c r="K37" s="53">
        <v>1</v>
      </c>
      <c r="L37" s="53">
        <v>0</v>
      </c>
      <c r="M37" s="53">
        <v>0</v>
      </c>
      <c r="N37" s="53">
        <v>3</v>
      </c>
      <c r="O37" s="54">
        <f t="shared" si="2"/>
        <v>32</v>
      </c>
    </row>
    <row r="38" spans="1:15" ht="12.75">
      <c r="A38" s="28">
        <v>28</v>
      </c>
      <c r="B38" s="29" t="s">
        <v>33</v>
      </c>
      <c r="C38" s="45">
        <v>200</v>
      </c>
      <c r="D38" s="46" t="s">
        <v>58</v>
      </c>
      <c r="E38" s="52">
        <v>4</v>
      </c>
      <c r="F38" s="53">
        <v>9</v>
      </c>
      <c r="G38" s="53">
        <v>11</v>
      </c>
      <c r="H38" s="53">
        <v>1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4</v>
      </c>
      <c r="O38" s="54">
        <f t="shared" si="2"/>
        <v>29</v>
      </c>
    </row>
    <row r="39" spans="1:15" ht="12.75">
      <c r="A39" s="28">
        <v>29</v>
      </c>
      <c r="B39" s="29" t="s">
        <v>34</v>
      </c>
      <c r="C39" s="45">
        <v>2596</v>
      </c>
      <c r="D39" s="46" t="s">
        <v>58</v>
      </c>
      <c r="E39" s="52">
        <v>21</v>
      </c>
      <c r="F39" s="53">
        <v>43</v>
      </c>
      <c r="G39" s="53">
        <v>15</v>
      </c>
      <c r="H39" s="53">
        <v>1</v>
      </c>
      <c r="I39" s="53">
        <v>1</v>
      </c>
      <c r="J39" s="53">
        <v>0</v>
      </c>
      <c r="K39" s="53">
        <v>0</v>
      </c>
      <c r="L39" s="53">
        <v>1</v>
      </c>
      <c r="M39" s="53">
        <v>0</v>
      </c>
      <c r="N39" s="53">
        <v>8</v>
      </c>
      <c r="O39" s="54">
        <f t="shared" si="2"/>
        <v>90</v>
      </c>
    </row>
    <row r="40" spans="1:15" ht="12.75">
      <c r="A40" s="28">
        <v>30</v>
      </c>
      <c r="B40" s="29" t="s">
        <v>34</v>
      </c>
      <c r="C40" s="45">
        <v>2572</v>
      </c>
      <c r="D40" s="46" t="s">
        <v>58</v>
      </c>
      <c r="E40" s="52">
        <v>9</v>
      </c>
      <c r="F40" s="53">
        <v>13</v>
      </c>
      <c r="G40" s="53">
        <v>5</v>
      </c>
      <c r="H40" s="53">
        <v>0</v>
      </c>
      <c r="I40" s="53">
        <v>0</v>
      </c>
      <c r="J40" s="53">
        <v>1</v>
      </c>
      <c r="K40" s="53">
        <v>0</v>
      </c>
      <c r="L40" s="53">
        <v>2</v>
      </c>
      <c r="M40" s="53">
        <v>0</v>
      </c>
      <c r="N40" s="53">
        <v>1</v>
      </c>
      <c r="O40" s="54">
        <f t="shared" si="2"/>
        <v>31</v>
      </c>
    </row>
    <row r="41" spans="1:15" ht="12.75">
      <c r="A41" s="28">
        <v>31</v>
      </c>
      <c r="B41" s="29" t="s">
        <v>35</v>
      </c>
      <c r="C41" s="45">
        <v>3997</v>
      </c>
      <c r="D41" s="46" t="s">
        <v>58</v>
      </c>
      <c r="E41" s="52">
        <v>3</v>
      </c>
      <c r="F41" s="53">
        <v>24</v>
      </c>
      <c r="G41" s="53">
        <v>13</v>
      </c>
      <c r="H41" s="53">
        <v>2</v>
      </c>
      <c r="I41" s="53">
        <v>1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4">
        <f t="shared" si="2"/>
        <v>43</v>
      </c>
    </row>
    <row r="42" spans="1:15" ht="12.75">
      <c r="A42" s="28">
        <v>32</v>
      </c>
      <c r="B42" s="29" t="s">
        <v>31</v>
      </c>
      <c r="C42" s="45">
        <v>3566</v>
      </c>
      <c r="D42" s="46" t="s">
        <v>58</v>
      </c>
      <c r="E42" s="55">
        <v>4</v>
      </c>
      <c r="F42" s="56">
        <v>15</v>
      </c>
      <c r="G42" s="56">
        <v>12</v>
      </c>
      <c r="H42" s="56">
        <v>1</v>
      </c>
      <c r="I42" s="56">
        <v>5</v>
      </c>
      <c r="J42" s="56">
        <v>0</v>
      </c>
      <c r="K42" s="56">
        <v>0</v>
      </c>
      <c r="L42" s="56">
        <v>0</v>
      </c>
      <c r="M42" s="56">
        <v>0</v>
      </c>
      <c r="N42" s="56">
        <v>2</v>
      </c>
      <c r="O42" s="57">
        <f t="shared" si="2"/>
        <v>39</v>
      </c>
    </row>
    <row r="43" spans="1:15" ht="12.75">
      <c r="A43" s="123">
        <v>33</v>
      </c>
      <c r="B43" s="125" t="s">
        <v>29</v>
      </c>
      <c r="C43" s="45">
        <v>1810</v>
      </c>
      <c r="D43" s="46" t="s">
        <v>58</v>
      </c>
      <c r="E43" s="55">
        <v>19</v>
      </c>
      <c r="F43" s="56">
        <v>40</v>
      </c>
      <c r="G43" s="56">
        <v>11</v>
      </c>
      <c r="H43" s="56">
        <v>2</v>
      </c>
      <c r="I43" s="56">
        <v>0</v>
      </c>
      <c r="J43" s="56">
        <v>1</v>
      </c>
      <c r="K43" s="56">
        <v>2</v>
      </c>
      <c r="L43" s="56">
        <v>1</v>
      </c>
      <c r="M43" s="56">
        <v>0</v>
      </c>
      <c r="N43" s="56">
        <v>1</v>
      </c>
      <c r="O43" s="57">
        <f t="shared" si="2"/>
        <v>77</v>
      </c>
    </row>
    <row r="44" spans="1:15" ht="12.75">
      <c r="A44" s="123"/>
      <c r="B44" s="125"/>
      <c r="C44" s="45">
        <v>4193</v>
      </c>
      <c r="D44" s="46" t="s">
        <v>58</v>
      </c>
      <c r="E44" s="55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7">
        <f t="shared" si="2"/>
        <v>0</v>
      </c>
    </row>
    <row r="45" spans="1:15" ht="12.75">
      <c r="A45" s="28">
        <v>34</v>
      </c>
      <c r="B45" s="29" t="s">
        <v>36</v>
      </c>
      <c r="C45" s="45">
        <v>2164</v>
      </c>
      <c r="D45" s="46" t="s">
        <v>58</v>
      </c>
      <c r="E45" s="55">
        <v>34</v>
      </c>
      <c r="F45" s="56">
        <v>41</v>
      </c>
      <c r="G45" s="56">
        <v>14</v>
      </c>
      <c r="H45" s="56">
        <v>4</v>
      </c>
      <c r="I45" s="56">
        <v>0</v>
      </c>
      <c r="J45" s="56">
        <v>0</v>
      </c>
      <c r="K45" s="56">
        <v>0</v>
      </c>
      <c r="L45" s="56">
        <v>1</v>
      </c>
      <c r="M45" s="56">
        <v>0</v>
      </c>
      <c r="N45" s="56">
        <v>6</v>
      </c>
      <c r="O45" s="57">
        <f t="shared" si="2"/>
        <v>100</v>
      </c>
    </row>
    <row r="46" spans="1:15" ht="12.75">
      <c r="A46" s="28">
        <v>35</v>
      </c>
      <c r="B46" s="29" t="s">
        <v>37</v>
      </c>
      <c r="C46" s="45">
        <v>2534</v>
      </c>
      <c r="D46" s="46" t="s">
        <v>58</v>
      </c>
      <c r="E46" s="55">
        <v>30</v>
      </c>
      <c r="F46" s="56">
        <v>22</v>
      </c>
      <c r="G46" s="56">
        <v>8</v>
      </c>
      <c r="H46" s="56">
        <v>7</v>
      </c>
      <c r="I46" s="56">
        <v>0</v>
      </c>
      <c r="J46" s="56">
        <v>0</v>
      </c>
      <c r="K46" s="56">
        <v>0</v>
      </c>
      <c r="L46" s="56">
        <v>1</v>
      </c>
      <c r="M46" s="56">
        <v>0</v>
      </c>
      <c r="N46" s="56">
        <v>1</v>
      </c>
      <c r="O46" s="57">
        <f t="shared" si="2"/>
        <v>69</v>
      </c>
    </row>
    <row r="47" spans="1:15" ht="12.75">
      <c r="A47" s="123">
        <v>36</v>
      </c>
      <c r="B47" s="125" t="s">
        <v>38</v>
      </c>
      <c r="C47" s="45">
        <v>1964</v>
      </c>
      <c r="D47" s="46" t="s">
        <v>58</v>
      </c>
      <c r="E47" s="55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7">
        <f t="shared" si="2"/>
        <v>0</v>
      </c>
    </row>
    <row r="48" spans="1:15" ht="12.75">
      <c r="A48" s="124"/>
      <c r="B48" s="126"/>
      <c r="C48" s="45">
        <v>4576</v>
      </c>
      <c r="D48" s="46" t="s">
        <v>58</v>
      </c>
      <c r="E48" s="55">
        <v>11</v>
      </c>
      <c r="F48" s="56">
        <v>13</v>
      </c>
      <c r="G48" s="56">
        <v>5</v>
      </c>
      <c r="H48" s="56">
        <v>19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1</v>
      </c>
      <c r="O48" s="57">
        <f t="shared" si="2"/>
        <v>49</v>
      </c>
    </row>
    <row r="49" spans="1:15" ht="12.75">
      <c r="A49" s="124"/>
      <c r="B49" s="126"/>
      <c r="C49" s="45">
        <v>5704</v>
      </c>
      <c r="D49" s="46" t="s">
        <v>58</v>
      </c>
      <c r="E49" s="55">
        <v>10</v>
      </c>
      <c r="F49" s="56">
        <v>12</v>
      </c>
      <c r="G49" s="56">
        <v>1</v>
      </c>
      <c r="H49" s="56">
        <v>2</v>
      </c>
      <c r="I49" s="56">
        <v>1</v>
      </c>
      <c r="J49" s="56">
        <v>0</v>
      </c>
      <c r="K49" s="56">
        <v>0</v>
      </c>
      <c r="L49" s="56">
        <v>0</v>
      </c>
      <c r="M49" s="56">
        <v>0</v>
      </c>
      <c r="N49" s="56">
        <v>1</v>
      </c>
      <c r="O49" s="57">
        <f t="shared" si="2"/>
        <v>27</v>
      </c>
    </row>
    <row r="50" spans="1:15" ht="12.75">
      <c r="A50" s="28">
        <v>37</v>
      </c>
      <c r="B50" s="29" t="s">
        <v>48</v>
      </c>
      <c r="C50" s="45">
        <v>4948</v>
      </c>
      <c r="D50" s="46" t="s">
        <v>58</v>
      </c>
      <c r="E50" s="55">
        <v>12</v>
      </c>
      <c r="F50" s="56">
        <v>24</v>
      </c>
      <c r="G50" s="56">
        <v>7</v>
      </c>
      <c r="H50" s="56">
        <v>0</v>
      </c>
      <c r="I50" s="56">
        <v>0</v>
      </c>
      <c r="J50" s="56">
        <v>1</v>
      </c>
      <c r="K50" s="56">
        <v>2</v>
      </c>
      <c r="L50" s="56">
        <v>1</v>
      </c>
      <c r="M50" s="56">
        <v>0</v>
      </c>
      <c r="N50" s="56">
        <v>0</v>
      </c>
      <c r="O50" s="57">
        <f t="shared" si="2"/>
        <v>47</v>
      </c>
    </row>
    <row r="51" spans="1:15" ht="12.75">
      <c r="A51" s="123">
        <v>38</v>
      </c>
      <c r="B51" s="125" t="s">
        <v>39</v>
      </c>
      <c r="C51" s="45">
        <v>523</v>
      </c>
      <c r="D51" s="46" t="s">
        <v>58</v>
      </c>
      <c r="E51" s="55">
        <v>15</v>
      </c>
      <c r="F51" s="56">
        <v>25</v>
      </c>
      <c r="G51" s="56">
        <v>12</v>
      </c>
      <c r="H51" s="56">
        <v>1</v>
      </c>
      <c r="I51" s="56">
        <v>0</v>
      </c>
      <c r="J51" s="56">
        <v>0</v>
      </c>
      <c r="K51" s="56">
        <v>0</v>
      </c>
      <c r="L51" s="56">
        <v>0</v>
      </c>
      <c r="M51" s="56">
        <v>0</v>
      </c>
      <c r="N51" s="56">
        <v>0</v>
      </c>
      <c r="O51" s="57">
        <f t="shared" si="2"/>
        <v>53</v>
      </c>
    </row>
    <row r="52" spans="1:15" ht="12.75">
      <c r="A52" s="123"/>
      <c r="B52" s="125"/>
      <c r="C52" s="45">
        <v>5653</v>
      </c>
      <c r="D52" s="46" t="s">
        <v>58</v>
      </c>
      <c r="E52" s="55">
        <v>10</v>
      </c>
      <c r="F52" s="56">
        <v>6</v>
      </c>
      <c r="G52" s="56">
        <v>5</v>
      </c>
      <c r="H52" s="56">
        <v>12</v>
      </c>
      <c r="I52" s="56">
        <v>1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7">
        <f t="shared" si="2"/>
        <v>34</v>
      </c>
    </row>
    <row r="53" spans="1:15" ht="12.75">
      <c r="A53" s="28">
        <v>39</v>
      </c>
      <c r="B53" s="29" t="s">
        <v>40</v>
      </c>
      <c r="C53" s="45">
        <v>4534</v>
      </c>
      <c r="D53" s="46" t="s">
        <v>58</v>
      </c>
      <c r="E53" s="55">
        <v>8</v>
      </c>
      <c r="F53" s="56">
        <v>17</v>
      </c>
      <c r="G53" s="56">
        <v>5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1</v>
      </c>
      <c r="O53" s="57">
        <f t="shared" si="2"/>
        <v>31</v>
      </c>
    </row>
    <row r="54" spans="1:15" ht="12.75">
      <c r="A54" s="28">
        <v>40</v>
      </c>
      <c r="B54" s="29" t="s">
        <v>41</v>
      </c>
      <c r="C54" s="45">
        <v>2094</v>
      </c>
      <c r="D54" s="46" t="s">
        <v>58</v>
      </c>
      <c r="E54" s="55">
        <v>23</v>
      </c>
      <c r="F54" s="56">
        <v>154</v>
      </c>
      <c r="G54" s="56">
        <v>11</v>
      </c>
      <c r="H54" s="56">
        <v>3</v>
      </c>
      <c r="I54" s="56">
        <v>1</v>
      </c>
      <c r="J54" s="56">
        <v>2</v>
      </c>
      <c r="K54" s="56">
        <v>0</v>
      </c>
      <c r="L54" s="56">
        <v>3</v>
      </c>
      <c r="M54" s="56">
        <v>0</v>
      </c>
      <c r="N54" s="56">
        <v>4</v>
      </c>
      <c r="O54" s="57">
        <f t="shared" si="2"/>
        <v>201</v>
      </c>
    </row>
    <row r="55" spans="1:15" ht="12.75">
      <c r="A55" s="28">
        <v>41</v>
      </c>
      <c r="B55" s="29" t="s">
        <v>31</v>
      </c>
      <c r="C55" s="45">
        <v>3686</v>
      </c>
      <c r="D55" s="46" t="s">
        <v>58</v>
      </c>
      <c r="E55" s="55">
        <v>4</v>
      </c>
      <c r="F55" s="56">
        <v>40</v>
      </c>
      <c r="G55" s="56">
        <v>14</v>
      </c>
      <c r="H55" s="56">
        <v>1</v>
      </c>
      <c r="I55" s="56">
        <v>1</v>
      </c>
      <c r="J55" s="56">
        <v>0</v>
      </c>
      <c r="K55" s="56">
        <v>0</v>
      </c>
      <c r="L55" s="56">
        <v>1</v>
      </c>
      <c r="M55" s="56">
        <v>0</v>
      </c>
      <c r="N55" s="56">
        <v>1</v>
      </c>
      <c r="O55" s="57">
        <f t="shared" si="2"/>
        <v>62</v>
      </c>
    </row>
    <row r="56" spans="1:15" ht="12.75">
      <c r="A56" s="28">
        <v>42</v>
      </c>
      <c r="B56" s="29" t="s">
        <v>29</v>
      </c>
      <c r="C56" s="45">
        <v>1640</v>
      </c>
      <c r="D56" s="46" t="s">
        <v>58</v>
      </c>
      <c r="E56" s="55">
        <v>9</v>
      </c>
      <c r="F56" s="56">
        <v>59</v>
      </c>
      <c r="G56" s="56">
        <v>18</v>
      </c>
      <c r="H56" s="56">
        <v>0</v>
      </c>
      <c r="I56" s="56">
        <v>2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7">
        <f t="shared" si="2"/>
        <v>88</v>
      </c>
    </row>
    <row r="57" spans="1:15" ht="12.75">
      <c r="A57" s="28">
        <v>43</v>
      </c>
      <c r="B57" s="29" t="s">
        <v>42</v>
      </c>
      <c r="C57" s="45">
        <v>795</v>
      </c>
      <c r="D57" s="46" t="s">
        <v>58</v>
      </c>
      <c r="E57" s="55">
        <v>34</v>
      </c>
      <c r="F57" s="56">
        <v>47</v>
      </c>
      <c r="G57" s="56">
        <v>6</v>
      </c>
      <c r="H57" s="56">
        <v>8</v>
      </c>
      <c r="I57" s="56">
        <v>2</v>
      </c>
      <c r="J57" s="56">
        <v>1</v>
      </c>
      <c r="K57" s="56">
        <v>3</v>
      </c>
      <c r="L57" s="56">
        <v>1</v>
      </c>
      <c r="M57" s="56">
        <v>0</v>
      </c>
      <c r="N57" s="56">
        <v>3</v>
      </c>
      <c r="O57" s="57">
        <f t="shared" si="2"/>
        <v>105</v>
      </c>
    </row>
    <row r="58" spans="1:15" ht="12.75">
      <c r="A58" s="28">
        <v>44</v>
      </c>
      <c r="B58" s="29" t="s">
        <v>43</v>
      </c>
      <c r="C58" s="45">
        <v>3738</v>
      </c>
      <c r="D58" s="46" t="s">
        <v>58</v>
      </c>
      <c r="E58" s="55">
        <v>13</v>
      </c>
      <c r="F58" s="56">
        <v>23</v>
      </c>
      <c r="G58" s="56">
        <v>10</v>
      </c>
      <c r="H58" s="56">
        <v>1</v>
      </c>
      <c r="I58" s="56">
        <v>2</v>
      </c>
      <c r="J58" s="56">
        <v>0</v>
      </c>
      <c r="K58" s="56">
        <v>0</v>
      </c>
      <c r="L58" s="56">
        <v>0</v>
      </c>
      <c r="M58" s="56">
        <v>0</v>
      </c>
      <c r="N58" s="56">
        <v>0</v>
      </c>
      <c r="O58" s="57">
        <f t="shared" si="2"/>
        <v>49</v>
      </c>
    </row>
    <row r="59" spans="1:15" ht="12.75">
      <c r="A59" s="30">
        <v>45</v>
      </c>
      <c r="B59" s="31" t="s">
        <v>44</v>
      </c>
      <c r="C59" s="47">
        <v>132</v>
      </c>
      <c r="D59" s="48" t="s">
        <v>58</v>
      </c>
      <c r="E59" s="58">
        <v>11</v>
      </c>
      <c r="F59" s="59">
        <v>17</v>
      </c>
      <c r="G59" s="59">
        <v>6</v>
      </c>
      <c r="H59" s="59">
        <v>8</v>
      </c>
      <c r="I59" s="59">
        <v>1</v>
      </c>
      <c r="J59" s="59">
        <v>0</v>
      </c>
      <c r="K59" s="59">
        <v>0</v>
      </c>
      <c r="L59" s="59">
        <v>0</v>
      </c>
      <c r="M59" s="59">
        <v>0</v>
      </c>
      <c r="N59" s="59">
        <v>0</v>
      </c>
      <c r="O59" s="60">
        <f t="shared" si="2"/>
        <v>43</v>
      </c>
    </row>
  </sheetData>
  <mergeCells count="13">
    <mergeCell ref="B43:B44"/>
    <mergeCell ref="A51:A52"/>
    <mergeCell ref="B51:B52"/>
    <mergeCell ref="A6:B6"/>
    <mergeCell ref="A47:A49"/>
    <mergeCell ref="B47:B49"/>
    <mergeCell ref="A11:A12"/>
    <mergeCell ref="B11:B12"/>
    <mergeCell ref="A15:A16"/>
    <mergeCell ref="B15:B16"/>
    <mergeCell ref="A19:A20"/>
    <mergeCell ref="B19:B20"/>
    <mergeCell ref="A43:A44"/>
  </mergeCells>
  <printOptions horizontalCentered="1"/>
  <pageMargins left="0.984251968503937" right="0.5905511811023623" top="0.7874015748031497" bottom="0.7874015748031497" header="0.2755905511811024" footer="0.2755905511811024"/>
  <pageSetup fitToHeight="0" horizontalDpi="600" verticalDpi="600" orientation="landscape" paperSize="5" r:id="rId2"/>
  <headerFooter alignWithMargins="0">
    <oddFooter>&amp;L&amp;F - &amp;A&amp;C&amp;"Arial Narrow,Normal"&amp;9&amp;P de &amp;N&amp;R&amp;"Arial Narrow,Normal"&amp;9&amp;D -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workbookViewId="0" topLeftCell="A23">
      <selection activeCell="C21" sqref="C21"/>
    </sheetView>
  </sheetViews>
  <sheetFormatPr defaultColWidth="11.421875" defaultRowHeight="12.75"/>
  <cols>
    <col min="1" max="1" width="3.7109375" style="0" customWidth="1"/>
    <col min="2" max="2" width="20.7109375" style="0" customWidth="1"/>
    <col min="3" max="4" width="7.421875" style="0" customWidth="1"/>
    <col min="5" max="15" width="9.7109375" style="0" customWidth="1"/>
  </cols>
  <sheetData>
    <row r="1" spans="1:15" ht="15.75">
      <c r="A1" t="s">
        <v>8</v>
      </c>
      <c r="D1" s="2" t="s">
        <v>54</v>
      </c>
      <c r="E1" s="2"/>
      <c r="O1" s="1"/>
    </row>
    <row r="2" spans="4:15" ht="15">
      <c r="D2" s="20" t="s">
        <v>53</v>
      </c>
      <c r="E2" s="4"/>
      <c r="O2" s="1"/>
    </row>
    <row r="3" spans="4:15" ht="15">
      <c r="D3" s="20" t="s">
        <v>85</v>
      </c>
      <c r="E3" s="4"/>
      <c r="O3" s="1"/>
    </row>
    <row r="4" spans="4:15" ht="12.75">
      <c r="D4" s="20" t="s">
        <v>59</v>
      </c>
      <c r="E4" s="5"/>
      <c r="O4" s="1"/>
    </row>
    <row r="5" spans="1:15" ht="11.25" customHeight="1">
      <c r="A5" s="6"/>
      <c r="B5" s="7"/>
      <c r="C5" s="7"/>
      <c r="D5" s="7"/>
      <c r="E5" s="6"/>
      <c r="F5" s="6"/>
      <c r="G5" s="8"/>
      <c r="H5" s="8"/>
      <c r="I5" s="7"/>
      <c r="J5" s="7"/>
      <c r="K5" s="7"/>
      <c r="L5" s="7"/>
      <c r="M5" s="7"/>
      <c r="N5" s="7"/>
      <c r="O5" s="9"/>
    </row>
    <row r="6" spans="1:15" ht="39">
      <c r="A6" s="74" t="s">
        <v>9</v>
      </c>
      <c r="B6" s="75"/>
      <c r="C6" s="76" t="s">
        <v>55</v>
      </c>
      <c r="D6" s="76" t="s">
        <v>56</v>
      </c>
      <c r="E6" s="70" t="s">
        <v>0</v>
      </c>
      <c r="F6" s="77" t="s">
        <v>49</v>
      </c>
      <c r="G6" s="70" t="s">
        <v>1</v>
      </c>
      <c r="H6" s="70" t="s">
        <v>2</v>
      </c>
      <c r="I6" s="70" t="s">
        <v>6</v>
      </c>
      <c r="J6" s="70" t="s">
        <v>3</v>
      </c>
      <c r="K6" s="70" t="s">
        <v>4</v>
      </c>
      <c r="L6" s="70" t="s">
        <v>7</v>
      </c>
      <c r="M6" s="70" t="s">
        <v>10</v>
      </c>
      <c r="N6" s="77" t="s">
        <v>50</v>
      </c>
      <c r="O6" s="78" t="s">
        <v>5</v>
      </c>
    </row>
    <row r="7" spans="1:15" ht="12.75">
      <c r="A7" s="121" t="s">
        <v>52</v>
      </c>
      <c r="B7" s="122"/>
      <c r="C7" s="25"/>
      <c r="D7" s="25"/>
      <c r="E7" s="61">
        <f aca="true" t="shared" si="0" ref="E7:O7">E23+E45+E49+E64+E72+E80</f>
        <v>2293</v>
      </c>
      <c r="F7" s="61">
        <f t="shared" si="0"/>
        <v>2492</v>
      </c>
      <c r="G7" s="61">
        <f t="shared" si="0"/>
        <v>1722</v>
      </c>
      <c r="H7" s="61">
        <f t="shared" si="0"/>
        <v>135</v>
      </c>
      <c r="I7" s="61">
        <f t="shared" si="0"/>
        <v>103</v>
      </c>
      <c r="J7" s="61">
        <f t="shared" si="0"/>
        <v>58</v>
      </c>
      <c r="K7" s="61">
        <f t="shared" si="0"/>
        <v>75</v>
      </c>
      <c r="L7" s="61">
        <f t="shared" si="0"/>
        <v>113</v>
      </c>
      <c r="M7" s="61">
        <f t="shared" si="0"/>
        <v>0</v>
      </c>
      <c r="N7" s="61">
        <f t="shared" si="0"/>
        <v>472</v>
      </c>
      <c r="O7" s="61">
        <f t="shared" si="0"/>
        <v>7463</v>
      </c>
    </row>
    <row r="8" spans="1:15" ht="12.75">
      <c r="A8" s="22"/>
      <c r="B8" s="23" t="s">
        <v>51</v>
      </c>
      <c r="C8" s="23"/>
      <c r="D8" s="23"/>
      <c r="E8" s="62">
        <f>E7/$O7</f>
        <v>0.3072490955379874</v>
      </c>
      <c r="F8" s="62">
        <f aca="true" t="shared" si="1" ref="F8:O8">F7/$O7</f>
        <v>0.33391397561302427</v>
      </c>
      <c r="G8" s="62">
        <f t="shared" si="1"/>
        <v>0.23073830899102238</v>
      </c>
      <c r="H8" s="62">
        <f t="shared" si="1"/>
        <v>0.01808924025190942</v>
      </c>
      <c r="I8" s="62">
        <f t="shared" si="1"/>
        <v>0.013801420340345705</v>
      </c>
      <c r="J8" s="62">
        <f t="shared" si="1"/>
        <v>0.007771673589709233</v>
      </c>
      <c r="K8" s="62">
        <f t="shared" si="1"/>
        <v>0.010049577917727455</v>
      </c>
      <c r="L8" s="62">
        <f t="shared" si="1"/>
        <v>0.015141364062709366</v>
      </c>
      <c r="M8" s="62">
        <f t="shared" si="1"/>
        <v>0</v>
      </c>
      <c r="N8" s="62">
        <f t="shared" si="1"/>
        <v>0.06324534369556478</v>
      </c>
      <c r="O8" s="62">
        <f t="shared" si="1"/>
        <v>1</v>
      </c>
    </row>
    <row r="9" spans="1:15" ht="12.75" hidden="1">
      <c r="A9" s="26">
        <v>1</v>
      </c>
      <c r="B9" s="27" t="s">
        <v>13</v>
      </c>
      <c r="C9" s="43"/>
      <c r="D9" s="44"/>
      <c r="E9" s="49"/>
      <c r="F9" s="50"/>
      <c r="G9" s="50"/>
      <c r="H9" s="50"/>
      <c r="I9" s="50"/>
      <c r="J9" s="50"/>
      <c r="K9" s="50"/>
      <c r="L9" s="50"/>
      <c r="M9" s="50"/>
      <c r="N9" s="50"/>
      <c r="O9" s="51"/>
    </row>
    <row r="10" spans="1:15" ht="12.75" hidden="1">
      <c r="A10" s="28">
        <v>2</v>
      </c>
      <c r="B10" s="29" t="s">
        <v>13</v>
      </c>
      <c r="C10" s="45"/>
      <c r="D10" s="46"/>
      <c r="E10" s="55"/>
      <c r="F10" s="56"/>
      <c r="G10" s="56"/>
      <c r="H10" s="56"/>
      <c r="I10" s="56"/>
      <c r="J10" s="56"/>
      <c r="K10" s="56"/>
      <c r="L10" s="56"/>
      <c r="M10" s="56"/>
      <c r="N10" s="56"/>
      <c r="O10" s="57"/>
    </row>
    <row r="11" spans="1:15" ht="12.75" hidden="1">
      <c r="A11" s="28">
        <v>3</v>
      </c>
      <c r="B11" s="29" t="s">
        <v>14</v>
      </c>
      <c r="C11" s="45"/>
      <c r="D11" s="46"/>
      <c r="E11" s="55"/>
      <c r="F11" s="56"/>
      <c r="G11" s="56"/>
      <c r="H11" s="56"/>
      <c r="I11" s="56"/>
      <c r="J11" s="56"/>
      <c r="K11" s="56"/>
      <c r="L11" s="56"/>
      <c r="M11" s="56"/>
      <c r="N11" s="56"/>
      <c r="O11" s="57"/>
    </row>
    <row r="12" spans="1:15" ht="12.75" hidden="1">
      <c r="A12" s="79">
        <v>4</v>
      </c>
      <c r="B12" s="82" t="s">
        <v>46</v>
      </c>
      <c r="C12" s="45"/>
      <c r="D12" s="46"/>
      <c r="E12" s="55"/>
      <c r="F12" s="56"/>
      <c r="G12" s="56"/>
      <c r="H12" s="56"/>
      <c r="I12" s="56"/>
      <c r="J12" s="56"/>
      <c r="K12" s="56"/>
      <c r="L12" s="56"/>
      <c r="M12" s="56"/>
      <c r="N12" s="56"/>
      <c r="O12" s="57"/>
    </row>
    <row r="13" spans="1:15" ht="12.75" hidden="1">
      <c r="A13" s="28">
        <v>5</v>
      </c>
      <c r="B13" s="29" t="s">
        <v>15</v>
      </c>
      <c r="C13" s="45"/>
      <c r="D13" s="46"/>
      <c r="E13" s="55"/>
      <c r="F13" s="56"/>
      <c r="G13" s="56"/>
      <c r="H13" s="56"/>
      <c r="I13" s="56"/>
      <c r="J13" s="56"/>
      <c r="K13" s="56"/>
      <c r="L13" s="56"/>
      <c r="M13" s="56"/>
      <c r="N13" s="56"/>
      <c r="O13" s="57"/>
    </row>
    <row r="14" spans="1:15" ht="12.75" hidden="1">
      <c r="A14" s="28">
        <v>6</v>
      </c>
      <c r="B14" s="29" t="s">
        <v>16</v>
      </c>
      <c r="C14" s="45"/>
      <c r="D14" s="46"/>
      <c r="E14" s="55"/>
      <c r="F14" s="56"/>
      <c r="G14" s="56"/>
      <c r="H14" s="56"/>
      <c r="I14" s="56"/>
      <c r="J14" s="56"/>
      <c r="K14" s="56"/>
      <c r="L14" s="56"/>
      <c r="M14" s="56"/>
      <c r="N14" s="56"/>
      <c r="O14" s="57"/>
    </row>
    <row r="15" spans="1:15" ht="12.75" hidden="1">
      <c r="A15" s="79">
        <v>7</v>
      </c>
      <c r="B15" s="82" t="s">
        <v>47</v>
      </c>
      <c r="C15" s="45"/>
      <c r="D15" s="46"/>
      <c r="E15" s="55"/>
      <c r="F15" s="56"/>
      <c r="G15" s="56"/>
      <c r="H15" s="56"/>
      <c r="I15" s="56"/>
      <c r="J15" s="56"/>
      <c r="K15" s="56"/>
      <c r="L15" s="56"/>
      <c r="M15" s="56"/>
      <c r="N15" s="56"/>
      <c r="O15" s="57"/>
    </row>
    <row r="16" spans="1:15" ht="12.75" hidden="1">
      <c r="A16" s="28">
        <v>8</v>
      </c>
      <c r="B16" s="29" t="s">
        <v>17</v>
      </c>
      <c r="C16" s="45"/>
      <c r="D16" s="46"/>
      <c r="E16" s="55"/>
      <c r="F16" s="56"/>
      <c r="G16" s="56"/>
      <c r="H16" s="56"/>
      <c r="I16" s="56"/>
      <c r="J16" s="56"/>
      <c r="K16" s="56"/>
      <c r="L16" s="56"/>
      <c r="M16" s="56"/>
      <c r="N16" s="56"/>
      <c r="O16" s="57"/>
    </row>
    <row r="17" spans="1:15" ht="12.75" hidden="1">
      <c r="A17" s="28">
        <v>9</v>
      </c>
      <c r="B17" s="29" t="s">
        <v>18</v>
      </c>
      <c r="C17" s="45"/>
      <c r="D17" s="46"/>
      <c r="E17" s="55"/>
      <c r="F17" s="56"/>
      <c r="G17" s="56"/>
      <c r="H17" s="56"/>
      <c r="I17" s="56"/>
      <c r="J17" s="56"/>
      <c r="K17" s="56"/>
      <c r="L17" s="56"/>
      <c r="M17" s="56"/>
      <c r="N17" s="56"/>
      <c r="O17" s="57"/>
    </row>
    <row r="18" spans="1:15" ht="12.75" hidden="1">
      <c r="A18" s="79">
        <v>10</v>
      </c>
      <c r="B18" s="82" t="s">
        <v>19</v>
      </c>
      <c r="C18" s="45"/>
      <c r="D18" s="46"/>
      <c r="E18" s="55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1:15" ht="12.75" hidden="1">
      <c r="A19" s="28">
        <v>11</v>
      </c>
      <c r="B19" s="29" t="s">
        <v>20</v>
      </c>
      <c r="C19" s="45"/>
      <c r="D19" s="46"/>
      <c r="E19" s="55"/>
      <c r="F19" s="56"/>
      <c r="G19" s="56"/>
      <c r="H19" s="56"/>
      <c r="I19" s="56"/>
      <c r="J19" s="56"/>
      <c r="K19" s="56"/>
      <c r="L19" s="56"/>
      <c r="M19" s="56"/>
      <c r="N19" s="56"/>
      <c r="O19" s="57"/>
    </row>
    <row r="20" spans="1:15" ht="12.75" hidden="1">
      <c r="A20" s="28">
        <v>12</v>
      </c>
      <c r="B20" s="29" t="s">
        <v>21</v>
      </c>
      <c r="C20" s="45"/>
      <c r="D20" s="46"/>
      <c r="E20" s="55"/>
      <c r="F20" s="56"/>
      <c r="G20" s="56"/>
      <c r="H20" s="56"/>
      <c r="I20" s="56"/>
      <c r="J20" s="56"/>
      <c r="K20" s="56"/>
      <c r="L20" s="56"/>
      <c r="M20" s="56"/>
      <c r="N20" s="56"/>
      <c r="O20" s="57"/>
    </row>
    <row r="21" spans="1:15" ht="12.75" hidden="1">
      <c r="A21" s="28">
        <v>13</v>
      </c>
      <c r="B21" s="29" t="s">
        <v>22</v>
      </c>
      <c r="C21" s="45"/>
      <c r="D21" s="46"/>
      <c r="E21" s="55"/>
      <c r="F21" s="56"/>
      <c r="G21" s="56"/>
      <c r="H21" s="56"/>
      <c r="I21" s="56"/>
      <c r="J21" s="56"/>
      <c r="K21" s="56"/>
      <c r="L21" s="56"/>
      <c r="M21" s="56"/>
      <c r="N21" s="56"/>
      <c r="O21" s="57"/>
    </row>
    <row r="22" spans="1:15" ht="12.75" hidden="1">
      <c r="A22" s="28">
        <v>14</v>
      </c>
      <c r="B22" s="29" t="s">
        <v>23</v>
      </c>
      <c r="C22" s="45"/>
      <c r="D22" s="46"/>
      <c r="E22" s="55"/>
      <c r="F22" s="56"/>
      <c r="G22" s="56"/>
      <c r="H22" s="56"/>
      <c r="I22" s="56"/>
      <c r="J22" s="56"/>
      <c r="K22" s="56"/>
      <c r="L22" s="56"/>
      <c r="M22" s="56"/>
      <c r="N22" s="56"/>
      <c r="O22" s="81"/>
    </row>
    <row r="23" spans="1:15" ht="15">
      <c r="A23" s="28">
        <v>15</v>
      </c>
      <c r="B23" s="29" t="s">
        <v>60</v>
      </c>
      <c r="C23" s="45">
        <v>2191</v>
      </c>
      <c r="D23" s="46" t="s">
        <v>58</v>
      </c>
      <c r="E23" s="55">
        <v>15</v>
      </c>
      <c r="F23" s="56">
        <v>22</v>
      </c>
      <c r="G23" s="56">
        <v>2</v>
      </c>
      <c r="H23" s="56">
        <v>0</v>
      </c>
      <c r="I23" s="56">
        <v>17</v>
      </c>
      <c r="J23" s="56">
        <v>0</v>
      </c>
      <c r="K23" s="56">
        <v>0</v>
      </c>
      <c r="L23" s="56">
        <v>2</v>
      </c>
      <c r="M23" s="56">
        <v>0</v>
      </c>
      <c r="N23" s="56">
        <v>2</v>
      </c>
      <c r="O23" s="57">
        <f>SUM(E23:N23)</f>
        <v>60</v>
      </c>
    </row>
    <row r="24" spans="1:15" ht="12.75" hidden="1">
      <c r="A24" s="28">
        <v>16</v>
      </c>
      <c r="B24" s="29" t="s">
        <v>25</v>
      </c>
      <c r="C24" s="45"/>
      <c r="D24" s="46"/>
      <c r="E24" s="55"/>
      <c r="F24" s="56"/>
      <c r="G24" s="56"/>
      <c r="H24" s="56"/>
      <c r="I24" s="56"/>
      <c r="J24" s="56"/>
      <c r="K24" s="56"/>
      <c r="L24" s="56"/>
      <c r="M24" s="56"/>
      <c r="N24" s="56"/>
      <c r="O24" s="57"/>
    </row>
    <row r="25" spans="1:15" ht="12.75" hidden="1">
      <c r="A25" s="28">
        <v>17</v>
      </c>
      <c r="B25" s="29" t="s">
        <v>26</v>
      </c>
      <c r="C25" s="45"/>
      <c r="D25" s="46"/>
      <c r="E25" s="55"/>
      <c r="F25" s="56"/>
      <c r="G25" s="56"/>
      <c r="H25" s="56"/>
      <c r="I25" s="56"/>
      <c r="J25" s="56"/>
      <c r="K25" s="56"/>
      <c r="L25" s="56"/>
      <c r="M25" s="56"/>
      <c r="N25" s="56"/>
      <c r="O25" s="57"/>
    </row>
    <row r="26" spans="1:15" ht="12.75" hidden="1">
      <c r="A26" s="28">
        <v>18</v>
      </c>
      <c r="B26" s="29" t="s">
        <v>48</v>
      </c>
      <c r="C26" s="45"/>
      <c r="D26" s="46"/>
      <c r="E26" s="55"/>
      <c r="F26" s="56"/>
      <c r="G26" s="56"/>
      <c r="H26" s="56"/>
      <c r="I26" s="56"/>
      <c r="J26" s="56"/>
      <c r="K26" s="56"/>
      <c r="L26" s="56"/>
      <c r="M26" s="56"/>
      <c r="N26" s="56"/>
      <c r="O26" s="57"/>
    </row>
    <row r="27" spans="1:15" ht="12.75" hidden="1">
      <c r="A27" s="28">
        <v>19</v>
      </c>
      <c r="B27" s="29" t="s">
        <v>27</v>
      </c>
      <c r="C27" s="45"/>
      <c r="D27" s="46"/>
      <c r="E27" s="55"/>
      <c r="F27" s="56"/>
      <c r="G27" s="56"/>
      <c r="H27" s="56"/>
      <c r="I27" s="56"/>
      <c r="J27" s="56"/>
      <c r="K27" s="56"/>
      <c r="L27" s="56"/>
      <c r="M27" s="56"/>
      <c r="N27" s="56"/>
      <c r="O27" s="57"/>
    </row>
    <row r="28" spans="1:15" ht="12.75" hidden="1">
      <c r="A28" s="28">
        <v>20</v>
      </c>
      <c r="B28" s="29" t="s">
        <v>28</v>
      </c>
      <c r="C28" s="45"/>
      <c r="D28" s="46"/>
      <c r="E28" s="55"/>
      <c r="F28" s="56"/>
      <c r="G28" s="56"/>
      <c r="H28" s="56"/>
      <c r="I28" s="56"/>
      <c r="J28" s="56"/>
      <c r="K28" s="56"/>
      <c r="L28" s="56"/>
      <c r="M28" s="56"/>
      <c r="N28" s="56"/>
      <c r="O28" s="57"/>
    </row>
    <row r="29" spans="1:15" ht="15">
      <c r="A29" s="28">
        <v>21</v>
      </c>
      <c r="B29" s="29" t="s">
        <v>72</v>
      </c>
      <c r="C29" s="45">
        <v>1329</v>
      </c>
      <c r="D29" s="46" t="s">
        <v>64</v>
      </c>
      <c r="E29" s="55">
        <v>62</v>
      </c>
      <c r="F29" s="56">
        <v>75</v>
      </c>
      <c r="G29" s="56">
        <v>67</v>
      </c>
      <c r="H29" s="56">
        <v>4</v>
      </c>
      <c r="I29" s="56">
        <v>2</v>
      </c>
      <c r="J29" s="56">
        <v>4</v>
      </c>
      <c r="K29" s="56">
        <v>5</v>
      </c>
      <c r="L29" s="56">
        <v>1</v>
      </c>
      <c r="M29" s="56">
        <v>0</v>
      </c>
      <c r="N29" s="56">
        <v>1</v>
      </c>
      <c r="O29" s="57">
        <f aca="true" t="shared" si="2" ref="O29:O48">SUM(E29:N29)</f>
        <v>221</v>
      </c>
    </row>
    <row r="30" spans="1:15" ht="12.75">
      <c r="A30" s="28"/>
      <c r="B30" s="29"/>
      <c r="C30" s="45">
        <v>1335</v>
      </c>
      <c r="D30" s="46" t="s">
        <v>71</v>
      </c>
      <c r="E30" s="55">
        <v>87</v>
      </c>
      <c r="F30" s="56">
        <v>122</v>
      </c>
      <c r="G30" s="56">
        <v>89</v>
      </c>
      <c r="H30" s="56">
        <v>7</v>
      </c>
      <c r="I30" s="56">
        <v>1</v>
      </c>
      <c r="J30" s="56">
        <v>3</v>
      </c>
      <c r="K30" s="56">
        <v>1</v>
      </c>
      <c r="L30" s="56">
        <v>4</v>
      </c>
      <c r="M30" s="56">
        <v>0</v>
      </c>
      <c r="N30" s="56">
        <v>5</v>
      </c>
      <c r="O30" s="57">
        <f t="shared" si="2"/>
        <v>319</v>
      </c>
    </row>
    <row r="31" spans="1:15" ht="12.75">
      <c r="A31" s="28"/>
      <c r="B31" s="29"/>
      <c r="C31" s="45">
        <v>1371</v>
      </c>
      <c r="D31" s="46" t="s">
        <v>63</v>
      </c>
      <c r="E31" s="55">
        <v>65</v>
      </c>
      <c r="F31" s="56">
        <v>41</v>
      </c>
      <c r="G31" s="56">
        <v>38</v>
      </c>
      <c r="H31" s="56">
        <v>4</v>
      </c>
      <c r="I31" s="56">
        <v>1</v>
      </c>
      <c r="J31" s="56">
        <v>2</v>
      </c>
      <c r="K31" s="56">
        <v>1</v>
      </c>
      <c r="L31" s="56">
        <v>1</v>
      </c>
      <c r="M31" s="56">
        <v>0</v>
      </c>
      <c r="N31" s="56">
        <v>13</v>
      </c>
      <c r="O31" s="57">
        <f t="shared" si="2"/>
        <v>166</v>
      </c>
    </row>
    <row r="32" spans="1:15" ht="12.75">
      <c r="A32" s="28"/>
      <c r="B32" s="29"/>
      <c r="C32" s="45">
        <v>1398</v>
      </c>
      <c r="D32" s="46" t="s">
        <v>71</v>
      </c>
      <c r="E32" s="55">
        <v>80</v>
      </c>
      <c r="F32" s="56">
        <v>63</v>
      </c>
      <c r="G32" s="56">
        <v>46</v>
      </c>
      <c r="H32" s="56">
        <v>4</v>
      </c>
      <c r="I32" s="56">
        <v>0</v>
      </c>
      <c r="J32" s="56">
        <v>2</v>
      </c>
      <c r="K32" s="56">
        <v>1</v>
      </c>
      <c r="L32" s="56">
        <v>0</v>
      </c>
      <c r="M32" s="56">
        <v>0</v>
      </c>
      <c r="N32" s="56">
        <v>6</v>
      </c>
      <c r="O32" s="57">
        <f t="shared" si="2"/>
        <v>202</v>
      </c>
    </row>
    <row r="33" spans="1:15" ht="12.75">
      <c r="A33" s="28"/>
      <c r="B33" s="29"/>
      <c r="C33" s="45">
        <v>1407</v>
      </c>
      <c r="D33" s="46" t="s">
        <v>71</v>
      </c>
      <c r="E33" s="55">
        <v>66</v>
      </c>
      <c r="F33" s="56">
        <v>77</v>
      </c>
      <c r="G33" s="56">
        <v>64</v>
      </c>
      <c r="H33" s="56">
        <v>5</v>
      </c>
      <c r="I33" s="56">
        <v>0</v>
      </c>
      <c r="J33" s="56">
        <v>1</v>
      </c>
      <c r="K33" s="56">
        <v>3</v>
      </c>
      <c r="L33" s="56">
        <v>1</v>
      </c>
      <c r="M33" s="56">
        <v>0</v>
      </c>
      <c r="N33" s="56">
        <v>6</v>
      </c>
      <c r="O33" s="57">
        <f t="shared" si="2"/>
        <v>223</v>
      </c>
    </row>
    <row r="34" spans="1:15" ht="12.75">
      <c r="A34" s="28"/>
      <c r="B34" s="29"/>
      <c r="C34" s="45">
        <v>1437</v>
      </c>
      <c r="D34" s="46" t="s">
        <v>63</v>
      </c>
      <c r="E34" s="55">
        <v>67</v>
      </c>
      <c r="F34" s="56">
        <v>67</v>
      </c>
      <c r="G34" s="56">
        <v>38</v>
      </c>
      <c r="H34" s="56">
        <v>1</v>
      </c>
      <c r="I34" s="56">
        <v>1</v>
      </c>
      <c r="J34" s="56">
        <v>1</v>
      </c>
      <c r="K34" s="56">
        <v>0</v>
      </c>
      <c r="L34" s="56">
        <v>12</v>
      </c>
      <c r="M34" s="56">
        <v>0</v>
      </c>
      <c r="N34" s="56">
        <v>3</v>
      </c>
      <c r="O34" s="57">
        <f t="shared" si="2"/>
        <v>190</v>
      </c>
    </row>
    <row r="35" spans="1:15" ht="12.75">
      <c r="A35" s="28"/>
      <c r="B35" s="29"/>
      <c r="C35" s="45">
        <v>1451</v>
      </c>
      <c r="D35" s="46" t="s">
        <v>63</v>
      </c>
      <c r="E35" s="55">
        <v>75</v>
      </c>
      <c r="F35" s="56">
        <v>50</v>
      </c>
      <c r="G35" s="56">
        <v>36</v>
      </c>
      <c r="H35" s="56">
        <v>1</v>
      </c>
      <c r="I35" s="56">
        <v>1</v>
      </c>
      <c r="J35" s="56">
        <v>1</v>
      </c>
      <c r="K35" s="56">
        <v>1</v>
      </c>
      <c r="L35" s="56">
        <v>19</v>
      </c>
      <c r="M35" s="56">
        <v>0</v>
      </c>
      <c r="N35" s="56">
        <v>1</v>
      </c>
      <c r="O35" s="57">
        <f t="shared" si="2"/>
        <v>185</v>
      </c>
    </row>
    <row r="36" spans="1:15" ht="12.75">
      <c r="A36" s="28"/>
      <c r="B36" s="29"/>
      <c r="C36" s="45">
        <v>1383</v>
      </c>
      <c r="D36" s="46" t="s">
        <v>62</v>
      </c>
      <c r="E36" s="55">
        <v>27</v>
      </c>
      <c r="F36" s="56">
        <v>86</v>
      </c>
      <c r="G36" s="56">
        <v>56</v>
      </c>
      <c r="H36" s="56">
        <v>4</v>
      </c>
      <c r="I36" s="56">
        <v>2</v>
      </c>
      <c r="J36" s="56">
        <v>1</v>
      </c>
      <c r="K36" s="56">
        <v>0</v>
      </c>
      <c r="L36" s="56">
        <v>1</v>
      </c>
      <c r="M36" s="56">
        <v>0</v>
      </c>
      <c r="N36" s="56">
        <v>11</v>
      </c>
      <c r="O36" s="57">
        <f t="shared" si="2"/>
        <v>188</v>
      </c>
    </row>
    <row r="37" spans="1:15" ht="12.75">
      <c r="A37" s="28"/>
      <c r="B37" s="29"/>
      <c r="C37" s="45">
        <v>1383</v>
      </c>
      <c r="D37" s="46" t="s">
        <v>63</v>
      </c>
      <c r="E37" s="55">
        <v>35</v>
      </c>
      <c r="F37" s="56">
        <v>78</v>
      </c>
      <c r="G37" s="56">
        <v>56</v>
      </c>
      <c r="H37" s="56">
        <v>5</v>
      </c>
      <c r="I37" s="56">
        <v>0</v>
      </c>
      <c r="J37" s="56">
        <v>1</v>
      </c>
      <c r="K37" s="56">
        <v>0</v>
      </c>
      <c r="L37" s="56">
        <v>0</v>
      </c>
      <c r="M37" s="56">
        <v>0</v>
      </c>
      <c r="N37" s="56">
        <v>7</v>
      </c>
      <c r="O37" s="57">
        <f t="shared" si="2"/>
        <v>182</v>
      </c>
    </row>
    <row r="38" spans="1:15" ht="12.75">
      <c r="A38" s="28"/>
      <c r="B38" s="29"/>
      <c r="C38" s="45">
        <v>1512</v>
      </c>
      <c r="D38" s="46" t="s">
        <v>64</v>
      </c>
      <c r="E38" s="55">
        <v>69</v>
      </c>
      <c r="F38" s="56">
        <v>76</v>
      </c>
      <c r="G38" s="56">
        <v>51</v>
      </c>
      <c r="H38" s="56">
        <v>4</v>
      </c>
      <c r="I38" s="56">
        <v>1</v>
      </c>
      <c r="J38" s="56">
        <v>1</v>
      </c>
      <c r="K38" s="56">
        <v>1</v>
      </c>
      <c r="L38" s="56">
        <v>8</v>
      </c>
      <c r="M38" s="56">
        <v>0</v>
      </c>
      <c r="N38" s="56">
        <v>6</v>
      </c>
      <c r="O38" s="57">
        <f t="shared" si="2"/>
        <v>217</v>
      </c>
    </row>
    <row r="39" spans="1:15" ht="12.75">
      <c r="A39" s="28"/>
      <c r="B39" s="29"/>
      <c r="C39" s="45">
        <v>1515</v>
      </c>
      <c r="D39" s="46" t="s">
        <v>71</v>
      </c>
      <c r="E39" s="55">
        <v>47</v>
      </c>
      <c r="F39" s="56">
        <v>68</v>
      </c>
      <c r="G39" s="56">
        <v>65</v>
      </c>
      <c r="H39" s="56">
        <v>5</v>
      </c>
      <c r="I39" s="56">
        <v>4</v>
      </c>
      <c r="J39" s="56">
        <v>2</v>
      </c>
      <c r="K39" s="56">
        <v>0</v>
      </c>
      <c r="L39" s="56">
        <v>0</v>
      </c>
      <c r="M39" s="56">
        <v>0</v>
      </c>
      <c r="N39" s="56">
        <v>2</v>
      </c>
      <c r="O39" s="57">
        <f t="shared" si="2"/>
        <v>193</v>
      </c>
    </row>
    <row r="40" spans="1:15" ht="12.75">
      <c r="A40" s="28"/>
      <c r="B40" s="29"/>
      <c r="C40" s="45">
        <v>1522</v>
      </c>
      <c r="D40" s="46" t="s">
        <v>64</v>
      </c>
      <c r="E40" s="55">
        <v>44</v>
      </c>
      <c r="F40" s="56">
        <v>73</v>
      </c>
      <c r="G40" s="56">
        <v>37</v>
      </c>
      <c r="H40" s="56">
        <v>4</v>
      </c>
      <c r="I40" s="56">
        <v>0</v>
      </c>
      <c r="J40" s="56">
        <v>2</v>
      </c>
      <c r="K40" s="56">
        <v>1</v>
      </c>
      <c r="L40" s="56">
        <v>0</v>
      </c>
      <c r="M40" s="56">
        <v>0</v>
      </c>
      <c r="N40" s="56">
        <v>9</v>
      </c>
      <c r="O40" s="57">
        <f t="shared" si="2"/>
        <v>170</v>
      </c>
    </row>
    <row r="41" spans="1:15" ht="12.75">
      <c r="A41" s="28"/>
      <c r="B41" s="29"/>
      <c r="C41" s="45">
        <v>1415</v>
      </c>
      <c r="D41" s="46" t="s">
        <v>64</v>
      </c>
      <c r="E41" s="55">
        <v>49</v>
      </c>
      <c r="F41" s="56">
        <v>55</v>
      </c>
      <c r="G41" s="56">
        <v>23</v>
      </c>
      <c r="H41" s="56">
        <v>3</v>
      </c>
      <c r="I41" s="56">
        <v>1</v>
      </c>
      <c r="J41" s="56">
        <v>2</v>
      </c>
      <c r="K41" s="56">
        <v>0</v>
      </c>
      <c r="L41" s="56">
        <v>2</v>
      </c>
      <c r="M41" s="56">
        <v>0</v>
      </c>
      <c r="N41" s="56">
        <v>0</v>
      </c>
      <c r="O41" s="57">
        <f t="shared" si="2"/>
        <v>135</v>
      </c>
    </row>
    <row r="42" spans="1:15" ht="12.75">
      <c r="A42" s="28"/>
      <c r="B42" s="29"/>
      <c r="C42" s="45">
        <v>1402</v>
      </c>
      <c r="D42" s="46" t="s">
        <v>71</v>
      </c>
      <c r="E42" s="55">
        <v>64</v>
      </c>
      <c r="F42" s="56">
        <v>112</v>
      </c>
      <c r="G42" s="56">
        <v>46</v>
      </c>
      <c r="H42" s="56">
        <v>8</v>
      </c>
      <c r="I42" s="56">
        <v>0</v>
      </c>
      <c r="J42" s="56">
        <v>1</v>
      </c>
      <c r="K42" s="56">
        <v>1</v>
      </c>
      <c r="L42" s="56">
        <v>2</v>
      </c>
      <c r="M42" s="56">
        <v>0</v>
      </c>
      <c r="N42" s="56">
        <v>9</v>
      </c>
      <c r="O42" s="57">
        <f t="shared" si="2"/>
        <v>243</v>
      </c>
    </row>
    <row r="43" spans="1:15" ht="12.75">
      <c r="A43" s="28"/>
      <c r="B43" s="29"/>
      <c r="C43" s="45">
        <v>1450</v>
      </c>
      <c r="D43" s="46" t="s">
        <v>71</v>
      </c>
      <c r="E43" s="55">
        <v>64</v>
      </c>
      <c r="F43" s="56">
        <v>70</v>
      </c>
      <c r="G43" s="56">
        <v>65</v>
      </c>
      <c r="H43" s="56">
        <v>3</v>
      </c>
      <c r="I43" s="56">
        <v>0</v>
      </c>
      <c r="J43" s="56">
        <v>1</v>
      </c>
      <c r="K43" s="56">
        <v>0</v>
      </c>
      <c r="L43" s="56">
        <v>1</v>
      </c>
      <c r="M43" s="56">
        <v>0</v>
      </c>
      <c r="N43" s="56">
        <v>6</v>
      </c>
      <c r="O43" s="57">
        <f t="shared" si="2"/>
        <v>210</v>
      </c>
    </row>
    <row r="44" spans="1:16" ht="12.75">
      <c r="A44" s="28"/>
      <c r="B44" s="29"/>
      <c r="C44" s="45">
        <v>1345</v>
      </c>
      <c r="D44" s="46" t="s">
        <v>71</v>
      </c>
      <c r="E44" s="55">
        <v>100</v>
      </c>
      <c r="F44" s="56">
        <v>74</v>
      </c>
      <c r="G44" s="56">
        <v>82</v>
      </c>
      <c r="H44" s="56">
        <v>7</v>
      </c>
      <c r="I44" s="56">
        <v>0</v>
      </c>
      <c r="J44" s="56">
        <v>5</v>
      </c>
      <c r="K44" s="56">
        <v>9</v>
      </c>
      <c r="L44" s="56">
        <v>3</v>
      </c>
      <c r="M44" s="56">
        <v>0</v>
      </c>
      <c r="N44" s="56">
        <v>1</v>
      </c>
      <c r="O44" s="57">
        <f t="shared" si="2"/>
        <v>281</v>
      </c>
      <c r="P44" s="90"/>
    </row>
    <row r="45" spans="1:15" ht="12.75">
      <c r="A45" s="28"/>
      <c r="B45" s="80" t="s">
        <v>65</v>
      </c>
      <c r="C45" s="45"/>
      <c r="D45" s="46"/>
      <c r="E45" s="55">
        <v>1001</v>
      </c>
      <c r="F45" s="56">
        <v>1187</v>
      </c>
      <c r="G45" s="56">
        <v>859</v>
      </c>
      <c r="H45" s="56">
        <v>69</v>
      </c>
      <c r="I45" s="56">
        <v>14</v>
      </c>
      <c r="J45" s="56">
        <v>30</v>
      </c>
      <c r="K45" s="56">
        <v>24</v>
      </c>
      <c r="L45" s="56">
        <v>55</v>
      </c>
      <c r="M45" s="56">
        <v>0</v>
      </c>
      <c r="N45" s="56">
        <v>86</v>
      </c>
      <c r="O45" s="57">
        <f>SUM(E45:N45)</f>
        <v>3325</v>
      </c>
    </row>
    <row r="46" spans="1:15" ht="15">
      <c r="A46" s="28">
        <v>22</v>
      </c>
      <c r="B46" s="29" t="s">
        <v>73</v>
      </c>
      <c r="C46" s="45">
        <v>1533</v>
      </c>
      <c r="D46" s="46" t="s">
        <v>64</v>
      </c>
      <c r="E46" s="55">
        <v>90</v>
      </c>
      <c r="F46" s="56">
        <v>63</v>
      </c>
      <c r="G46" s="56">
        <v>88</v>
      </c>
      <c r="H46" s="56">
        <v>4</v>
      </c>
      <c r="I46" s="56">
        <v>1</v>
      </c>
      <c r="J46" s="56">
        <v>1</v>
      </c>
      <c r="K46" s="56">
        <v>2</v>
      </c>
      <c r="L46" s="56">
        <v>3</v>
      </c>
      <c r="M46" s="56">
        <v>0</v>
      </c>
      <c r="N46" s="56">
        <v>8</v>
      </c>
      <c r="O46" s="57">
        <f t="shared" si="2"/>
        <v>260</v>
      </c>
    </row>
    <row r="47" spans="1:15" ht="12.75">
      <c r="A47" s="28"/>
      <c r="B47" s="98"/>
      <c r="C47" s="45">
        <v>1608</v>
      </c>
      <c r="D47" s="46" t="s">
        <v>64</v>
      </c>
      <c r="E47" s="55">
        <v>63</v>
      </c>
      <c r="F47" s="56">
        <v>62</v>
      </c>
      <c r="G47" s="56">
        <v>90</v>
      </c>
      <c r="H47" s="56">
        <v>1</v>
      </c>
      <c r="I47" s="56">
        <v>5</v>
      </c>
      <c r="J47" s="56">
        <v>0</v>
      </c>
      <c r="K47" s="56">
        <v>2</v>
      </c>
      <c r="L47" s="56">
        <v>2</v>
      </c>
      <c r="M47" s="56">
        <v>0</v>
      </c>
      <c r="N47" s="56">
        <v>7</v>
      </c>
      <c r="O47" s="57">
        <f t="shared" si="2"/>
        <v>232</v>
      </c>
    </row>
    <row r="48" spans="1:15" ht="12.75">
      <c r="A48" s="28"/>
      <c r="B48" s="29"/>
      <c r="C48" s="45">
        <v>1652</v>
      </c>
      <c r="D48" s="46" t="s">
        <v>64</v>
      </c>
      <c r="E48" s="55">
        <v>42</v>
      </c>
      <c r="F48" s="56">
        <v>36</v>
      </c>
      <c r="G48" s="56">
        <v>45</v>
      </c>
      <c r="H48" s="56">
        <v>8</v>
      </c>
      <c r="I48" s="56">
        <v>0</v>
      </c>
      <c r="J48" s="56">
        <v>4</v>
      </c>
      <c r="K48" s="56">
        <v>1</v>
      </c>
      <c r="L48" s="56">
        <v>0</v>
      </c>
      <c r="M48" s="56">
        <v>0</v>
      </c>
      <c r="N48" s="56">
        <v>5</v>
      </c>
      <c r="O48" s="57">
        <f t="shared" si="2"/>
        <v>141</v>
      </c>
    </row>
    <row r="49" spans="1:15" ht="12.75">
      <c r="A49" s="28"/>
      <c r="B49" s="80" t="s">
        <v>65</v>
      </c>
      <c r="C49" s="45"/>
      <c r="D49" s="46"/>
      <c r="E49" s="55">
        <v>195</v>
      </c>
      <c r="F49" s="56">
        <v>161</v>
      </c>
      <c r="G49" s="56">
        <v>223</v>
      </c>
      <c r="H49" s="56">
        <v>13</v>
      </c>
      <c r="I49" s="56">
        <v>6</v>
      </c>
      <c r="J49" s="56">
        <v>5</v>
      </c>
      <c r="K49" s="56">
        <v>5</v>
      </c>
      <c r="L49" s="56">
        <v>5</v>
      </c>
      <c r="M49" s="56">
        <v>0</v>
      </c>
      <c r="N49" s="56">
        <v>20</v>
      </c>
      <c r="O49" s="57">
        <f>SUM(E49:N49)</f>
        <v>633</v>
      </c>
    </row>
    <row r="50" spans="1:15" ht="12.75" hidden="1">
      <c r="A50" s="28">
        <v>23</v>
      </c>
      <c r="B50" s="29" t="s">
        <v>30</v>
      </c>
      <c r="C50" s="45"/>
      <c r="D50" s="46"/>
      <c r="E50" s="55"/>
      <c r="F50" s="56"/>
      <c r="G50" s="56"/>
      <c r="H50" s="56"/>
      <c r="I50" s="56"/>
      <c r="J50" s="56"/>
      <c r="K50" s="56"/>
      <c r="L50" s="56"/>
      <c r="M50" s="56"/>
      <c r="N50" s="56"/>
      <c r="O50" s="57"/>
    </row>
    <row r="51" spans="1:15" ht="12.75" hidden="1">
      <c r="A51" s="28">
        <v>24</v>
      </c>
      <c r="B51" s="29" t="s">
        <v>31</v>
      </c>
      <c r="C51" s="45"/>
      <c r="D51" s="46"/>
      <c r="E51" s="55"/>
      <c r="F51" s="56"/>
      <c r="G51" s="56"/>
      <c r="H51" s="56"/>
      <c r="I51" s="56"/>
      <c r="J51" s="56"/>
      <c r="K51" s="56"/>
      <c r="L51" s="56"/>
      <c r="M51" s="56"/>
      <c r="N51" s="56"/>
      <c r="O51" s="57"/>
    </row>
    <row r="52" spans="1:15" ht="12.75" hidden="1">
      <c r="A52" s="28">
        <v>25</v>
      </c>
      <c r="B52" s="29" t="s">
        <v>31</v>
      </c>
      <c r="C52" s="45"/>
      <c r="D52" s="46"/>
      <c r="E52" s="55"/>
      <c r="F52" s="56"/>
      <c r="G52" s="56"/>
      <c r="H52" s="56"/>
      <c r="I52" s="56"/>
      <c r="J52" s="56"/>
      <c r="K52" s="56"/>
      <c r="L52" s="56"/>
      <c r="M52" s="56"/>
      <c r="N52" s="56"/>
      <c r="O52" s="57"/>
    </row>
    <row r="53" spans="1:15" ht="12.75" hidden="1">
      <c r="A53" s="28">
        <v>26</v>
      </c>
      <c r="B53" s="29" t="s">
        <v>31</v>
      </c>
      <c r="C53" s="45"/>
      <c r="D53" s="46"/>
      <c r="E53" s="55"/>
      <c r="F53" s="56"/>
      <c r="G53" s="56"/>
      <c r="H53" s="56"/>
      <c r="I53" s="56"/>
      <c r="J53" s="56"/>
      <c r="K53" s="56"/>
      <c r="L53" s="56"/>
      <c r="M53" s="56"/>
      <c r="N53" s="56"/>
      <c r="O53" s="57"/>
    </row>
    <row r="54" spans="1:15" ht="12.75" hidden="1">
      <c r="A54" s="28">
        <v>27</v>
      </c>
      <c r="B54" s="29" t="s">
        <v>32</v>
      </c>
      <c r="C54" s="45"/>
      <c r="D54" s="46"/>
      <c r="E54" s="55"/>
      <c r="F54" s="56"/>
      <c r="G54" s="56"/>
      <c r="H54" s="56"/>
      <c r="I54" s="56"/>
      <c r="J54" s="56"/>
      <c r="K54" s="56"/>
      <c r="L54" s="56"/>
      <c r="M54" s="56"/>
      <c r="N54" s="56"/>
      <c r="O54" s="57"/>
    </row>
    <row r="55" spans="1:15" ht="12.75" hidden="1">
      <c r="A55" s="28">
        <v>28</v>
      </c>
      <c r="B55" s="29" t="s">
        <v>33</v>
      </c>
      <c r="C55" s="45"/>
      <c r="D55" s="46"/>
      <c r="E55" s="55"/>
      <c r="F55" s="56"/>
      <c r="G55" s="56"/>
      <c r="H55" s="56"/>
      <c r="I55" s="56"/>
      <c r="J55" s="56"/>
      <c r="K55" s="56"/>
      <c r="L55" s="56"/>
      <c r="M55" s="56"/>
      <c r="N55" s="56"/>
      <c r="O55" s="57"/>
    </row>
    <row r="56" spans="1:15" ht="15">
      <c r="A56" s="28">
        <v>29</v>
      </c>
      <c r="B56" s="29" t="s">
        <v>74</v>
      </c>
      <c r="C56" s="45">
        <v>2632</v>
      </c>
      <c r="D56" s="46" t="s">
        <v>63</v>
      </c>
      <c r="E56" s="55">
        <v>36</v>
      </c>
      <c r="F56" s="56">
        <v>55</v>
      </c>
      <c r="G56" s="56">
        <v>40</v>
      </c>
      <c r="H56" s="56">
        <v>1</v>
      </c>
      <c r="I56" s="56">
        <v>0</v>
      </c>
      <c r="J56" s="56">
        <v>1</v>
      </c>
      <c r="K56" s="56">
        <v>2</v>
      </c>
      <c r="L56" s="56">
        <v>8</v>
      </c>
      <c r="M56" s="56">
        <v>0</v>
      </c>
      <c r="N56" s="56">
        <v>2</v>
      </c>
      <c r="O56" s="57">
        <f aca="true" t="shared" si="3" ref="O56:O63">SUM(E56:N56)</f>
        <v>145</v>
      </c>
    </row>
    <row r="57" spans="1:15" ht="12.75">
      <c r="A57" s="28"/>
      <c r="B57" s="29"/>
      <c r="C57" s="45">
        <v>2668</v>
      </c>
      <c r="D57" s="46" t="s">
        <v>63</v>
      </c>
      <c r="E57" s="55">
        <v>36</v>
      </c>
      <c r="F57" s="56">
        <v>62</v>
      </c>
      <c r="G57" s="56">
        <v>26</v>
      </c>
      <c r="H57" s="56">
        <v>2</v>
      </c>
      <c r="I57" s="56">
        <v>5</v>
      </c>
      <c r="J57" s="56">
        <v>0</v>
      </c>
      <c r="K57" s="56">
        <v>16</v>
      </c>
      <c r="L57" s="56">
        <v>1</v>
      </c>
      <c r="M57" s="56">
        <v>0</v>
      </c>
      <c r="N57" s="56">
        <v>5</v>
      </c>
      <c r="O57" s="57">
        <f t="shared" si="3"/>
        <v>153</v>
      </c>
    </row>
    <row r="58" spans="1:15" ht="12.75">
      <c r="A58" s="28"/>
      <c r="B58" s="29"/>
      <c r="C58" s="45">
        <v>2668</v>
      </c>
      <c r="D58" s="46" t="s">
        <v>71</v>
      </c>
      <c r="E58" s="55">
        <v>47</v>
      </c>
      <c r="F58" s="56">
        <v>55</v>
      </c>
      <c r="G58" s="56">
        <v>27</v>
      </c>
      <c r="H58" s="56">
        <v>2</v>
      </c>
      <c r="I58" s="56">
        <v>1</v>
      </c>
      <c r="J58" s="56">
        <v>1</v>
      </c>
      <c r="K58" s="56">
        <v>6</v>
      </c>
      <c r="L58" s="56">
        <v>2</v>
      </c>
      <c r="M58" s="56">
        <v>0</v>
      </c>
      <c r="N58" s="56">
        <v>2</v>
      </c>
      <c r="O58" s="57">
        <f t="shared" si="3"/>
        <v>143</v>
      </c>
    </row>
    <row r="59" spans="1:15" ht="12.75">
      <c r="A59" s="28"/>
      <c r="B59" s="98"/>
      <c r="C59" s="45">
        <v>2668</v>
      </c>
      <c r="D59" s="46" t="s">
        <v>64</v>
      </c>
      <c r="E59" s="55">
        <v>42</v>
      </c>
      <c r="F59" s="56">
        <v>41</v>
      </c>
      <c r="G59" s="56">
        <v>41</v>
      </c>
      <c r="H59" s="56">
        <v>1</v>
      </c>
      <c r="I59" s="56">
        <v>6</v>
      </c>
      <c r="J59" s="56">
        <v>0</v>
      </c>
      <c r="K59" s="56">
        <v>7</v>
      </c>
      <c r="L59" s="56">
        <v>2</v>
      </c>
      <c r="M59" s="56">
        <v>0</v>
      </c>
      <c r="N59" s="56">
        <v>5</v>
      </c>
      <c r="O59" s="57">
        <f t="shared" si="3"/>
        <v>145</v>
      </c>
    </row>
    <row r="60" spans="1:15" ht="12.75">
      <c r="A60" s="28"/>
      <c r="B60" s="29"/>
      <c r="C60" s="45">
        <v>2669</v>
      </c>
      <c r="D60" s="46" t="s">
        <v>71</v>
      </c>
      <c r="E60" s="55">
        <v>61</v>
      </c>
      <c r="F60" s="56">
        <v>69</v>
      </c>
      <c r="G60" s="56">
        <v>39</v>
      </c>
      <c r="H60" s="56">
        <v>0</v>
      </c>
      <c r="I60" s="56">
        <v>4</v>
      </c>
      <c r="J60" s="56">
        <v>0</v>
      </c>
      <c r="K60" s="56">
        <v>1</v>
      </c>
      <c r="L60" s="56">
        <v>4</v>
      </c>
      <c r="M60" s="56">
        <v>0</v>
      </c>
      <c r="N60" s="56">
        <v>5</v>
      </c>
      <c r="O60" s="57">
        <f t="shared" si="3"/>
        <v>183</v>
      </c>
    </row>
    <row r="61" spans="1:15" ht="12.75">
      <c r="A61" s="28"/>
      <c r="B61" s="29"/>
      <c r="C61" s="45">
        <v>2622</v>
      </c>
      <c r="D61" s="46" t="s">
        <v>64</v>
      </c>
      <c r="E61" s="55">
        <v>80</v>
      </c>
      <c r="F61" s="56">
        <v>64</v>
      </c>
      <c r="G61" s="56">
        <v>34</v>
      </c>
      <c r="H61" s="56">
        <v>2</v>
      </c>
      <c r="I61" s="56">
        <v>5</v>
      </c>
      <c r="J61" s="56">
        <v>0</v>
      </c>
      <c r="K61" s="56">
        <v>0</v>
      </c>
      <c r="L61" s="56">
        <v>10</v>
      </c>
      <c r="M61" s="56">
        <v>0</v>
      </c>
      <c r="N61" s="56">
        <v>1</v>
      </c>
      <c r="O61" s="57">
        <f t="shared" si="3"/>
        <v>196</v>
      </c>
    </row>
    <row r="62" spans="1:15" ht="12.75">
      <c r="A62" s="28"/>
      <c r="B62" s="29"/>
      <c r="C62" s="45">
        <v>2610</v>
      </c>
      <c r="D62" s="46" t="s">
        <v>64</v>
      </c>
      <c r="E62" s="55">
        <v>101</v>
      </c>
      <c r="F62" s="56">
        <v>77</v>
      </c>
      <c r="G62" s="56">
        <v>56</v>
      </c>
      <c r="H62" s="56">
        <v>3</v>
      </c>
      <c r="I62" s="56">
        <v>3</v>
      </c>
      <c r="J62" s="56">
        <v>1</v>
      </c>
      <c r="K62" s="56">
        <v>2</v>
      </c>
      <c r="L62" s="56">
        <v>4</v>
      </c>
      <c r="M62" s="56">
        <v>0</v>
      </c>
      <c r="N62" s="56">
        <v>4</v>
      </c>
      <c r="O62" s="57">
        <f t="shared" si="3"/>
        <v>251</v>
      </c>
    </row>
    <row r="63" spans="1:15" ht="12.75">
      <c r="A63" s="28"/>
      <c r="B63" s="29"/>
      <c r="C63" s="45">
        <v>2641</v>
      </c>
      <c r="D63" s="46" t="s">
        <v>64</v>
      </c>
      <c r="E63" s="55">
        <v>54</v>
      </c>
      <c r="F63" s="56">
        <v>47</v>
      </c>
      <c r="G63" s="56">
        <v>25</v>
      </c>
      <c r="H63" s="56">
        <v>5</v>
      </c>
      <c r="I63" s="56">
        <v>1</v>
      </c>
      <c r="J63" s="56">
        <v>1</v>
      </c>
      <c r="K63" s="56">
        <v>0</v>
      </c>
      <c r="L63" s="56">
        <v>0</v>
      </c>
      <c r="M63" s="56">
        <v>0</v>
      </c>
      <c r="N63" s="56">
        <v>3</v>
      </c>
      <c r="O63" s="57">
        <f t="shared" si="3"/>
        <v>136</v>
      </c>
    </row>
    <row r="64" spans="1:15" ht="12.75">
      <c r="A64" s="28"/>
      <c r="B64" s="80" t="s">
        <v>65</v>
      </c>
      <c r="C64" s="45"/>
      <c r="D64" s="46"/>
      <c r="E64" s="55">
        <v>457</v>
      </c>
      <c r="F64" s="56">
        <v>470</v>
      </c>
      <c r="G64" s="56">
        <v>288</v>
      </c>
      <c r="H64" s="56">
        <v>16</v>
      </c>
      <c r="I64" s="56">
        <v>25</v>
      </c>
      <c r="J64" s="56">
        <v>4</v>
      </c>
      <c r="K64" s="56">
        <v>34</v>
      </c>
      <c r="L64" s="56">
        <v>31</v>
      </c>
      <c r="M64" s="56">
        <v>0</v>
      </c>
      <c r="N64" s="56">
        <v>27</v>
      </c>
      <c r="O64" s="57">
        <f>SUM(E64:N64)</f>
        <v>1352</v>
      </c>
    </row>
    <row r="65" spans="1:15" ht="12.75" hidden="1">
      <c r="A65" s="28">
        <v>30</v>
      </c>
      <c r="B65" s="29" t="s">
        <v>34</v>
      </c>
      <c r="C65" s="45"/>
      <c r="D65" s="46"/>
      <c r="E65" s="55"/>
      <c r="F65" s="56"/>
      <c r="G65" s="56"/>
      <c r="H65" s="56"/>
      <c r="I65" s="56"/>
      <c r="J65" s="56"/>
      <c r="K65" s="56"/>
      <c r="L65" s="56"/>
      <c r="M65" s="56"/>
      <c r="N65" s="56"/>
      <c r="O65" s="57"/>
    </row>
    <row r="66" spans="1:15" ht="12.75" hidden="1">
      <c r="A66" s="28">
        <v>31</v>
      </c>
      <c r="B66" s="29" t="s">
        <v>35</v>
      </c>
      <c r="C66" s="45"/>
      <c r="D66" s="46"/>
      <c r="E66" s="55"/>
      <c r="F66" s="56"/>
      <c r="G66" s="56"/>
      <c r="H66" s="56"/>
      <c r="I66" s="56"/>
      <c r="J66" s="56"/>
      <c r="K66" s="56"/>
      <c r="L66" s="56"/>
      <c r="M66" s="56"/>
      <c r="N66" s="56"/>
      <c r="O66" s="57"/>
    </row>
    <row r="67" spans="1:15" ht="12.75" hidden="1">
      <c r="A67" s="28">
        <v>32</v>
      </c>
      <c r="B67" s="29" t="s">
        <v>31</v>
      </c>
      <c r="C67" s="45"/>
      <c r="D67" s="46"/>
      <c r="E67" s="55"/>
      <c r="F67" s="56"/>
      <c r="G67" s="56"/>
      <c r="H67" s="56"/>
      <c r="I67" s="56"/>
      <c r="J67" s="56"/>
      <c r="K67" s="56"/>
      <c r="L67" s="56"/>
      <c r="M67" s="56"/>
      <c r="N67" s="56"/>
      <c r="O67" s="57"/>
    </row>
    <row r="68" spans="1:15" ht="15">
      <c r="A68" s="83">
        <v>33</v>
      </c>
      <c r="B68" s="86" t="s">
        <v>69</v>
      </c>
      <c r="C68" s="45">
        <v>4227</v>
      </c>
      <c r="D68" s="46" t="s">
        <v>62</v>
      </c>
      <c r="E68" s="55">
        <v>111</v>
      </c>
      <c r="F68" s="56">
        <v>91</v>
      </c>
      <c r="G68" s="56">
        <v>41</v>
      </c>
      <c r="H68" s="56">
        <v>4</v>
      </c>
      <c r="I68" s="56">
        <v>22</v>
      </c>
      <c r="J68" s="56">
        <v>1</v>
      </c>
      <c r="K68" s="56">
        <v>3</v>
      </c>
      <c r="L68" s="56">
        <v>4</v>
      </c>
      <c r="M68" s="56">
        <v>0</v>
      </c>
      <c r="N68" s="56">
        <v>2</v>
      </c>
      <c r="O68" s="57">
        <f>SUM(E68:N68)</f>
        <v>279</v>
      </c>
    </row>
    <row r="69" spans="1:15" ht="12.75">
      <c r="A69" s="84"/>
      <c r="B69" s="87"/>
      <c r="C69" s="45">
        <v>4251</v>
      </c>
      <c r="D69" s="46" t="s">
        <v>63</v>
      </c>
      <c r="E69" s="55">
        <v>110</v>
      </c>
      <c r="F69" s="56">
        <v>127</v>
      </c>
      <c r="G69" s="56">
        <v>26</v>
      </c>
      <c r="H69" s="56">
        <v>0</v>
      </c>
      <c r="I69" s="56">
        <v>6</v>
      </c>
      <c r="J69" s="56">
        <v>0</v>
      </c>
      <c r="K69" s="56">
        <v>1</v>
      </c>
      <c r="L69" s="56">
        <v>1</v>
      </c>
      <c r="M69" s="56">
        <v>0</v>
      </c>
      <c r="N69" s="56">
        <v>3</v>
      </c>
      <c r="O69" s="57">
        <f>SUM(E69:N69)</f>
        <v>274</v>
      </c>
    </row>
    <row r="70" spans="1:15" ht="12.75">
      <c r="A70" s="84"/>
      <c r="B70" s="87"/>
      <c r="C70" s="45">
        <v>1757</v>
      </c>
      <c r="D70" s="46" t="s">
        <v>64</v>
      </c>
      <c r="E70" s="55">
        <v>73</v>
      </c>
      <c r="F70" s="56">
        <v>59</v>
      </c>
      <c r="G70" s="56">
        <v>27</v>
      </c>
      <c r="H70" s="56">
        <v>4</v>
      </c>
      <c r="I70" s="56">
        <v>1</v>
      </c>
      <c r="J70" s="56">
        <v>0</v>
      </c>
      <c r="K70" s="56">
        <v>0</v>
      </c>
      <c r="L70" s="56">
        <v>5</v>
      </c>
      <c r="M70" s="56">
        <v>0</v>
      </c>
      <c r="N70" s="56">
        <v>5</v>
      </c>
      <c r="O70" s="57">
        <f>SUM(E70:N70)</f>
        <v>174</v>
      </c>
    </row>
    <row r="71" spans="1:15" ht="12.75">
      <c r="A71" s="88"/>
      <c r="B71" s="89"/>
      <c r="C71" s="45">
        <v>1789</v>
      </c>
      <c r="D71" s="46" t="s">
        <v>63</v>
      </c>
      <c r="E71" s="55">
        <v>110</v>
      </c>
      <c r="F71" s="56">
        <v>67</v>
      </c>
      <c r="G71" s="56">
        <v>71</v>
      </c>
      <c r="H71" s="56">
        <v>3</v>
      </c>
      <c r="I71" s="56">
        <v>0</v>
      </c>
      <c r="J71" s="56">
        <v>5</v>
      </c>
      <c r="K71" s="56">
        <v>2</v>
      </c>
      <c r="L71" s="56">
        <v>2</v>
      </c>
      <c r="M71" s="56">
        <v>0</v>
      </c>
      <c r="N71" s="56">
        <v>4</v>
      </c>
      <c r="O71" s="57">
        <f>SUM(E71:N71)</f>
        <v>264</v>
      </c>
    </row>
    <row r="72" spans="1:15" ht="12.75">
      <c r="A72" s="79"/>
      <c r="B72" s="80" t="s">
        <v>65</v>
      </c>
      <c r="C72" s="45"/>
      <c r="D72" s="46"/>
      <c r="E72" s="55">
        <v>404</v>
      </c>
      <c r="F72" s="56">
        <v>344</v>
      </c>
      <c r="G72" s="56">
        <v>165</v>
      </c>
      <c r="H72" s="56">
        <v>11</v>
      </c>
      <c r="I72" s="56">
        <v>29</v>
      </c>
      <c r="J72" s="56">
        <v>6</v>
      </c>
      <c r="K72" s="56">
        <v>6</v>
      </c>
      <c r="L72" s="56">
        <v>12</v>
      </c>
      <c r="M72" s="56">
        <v>0</v>
      </c>
      <c r="N72" s="56">
        <v>14</v>
      </c>
      <c r="O72" s="57">
        <f>SUM(E72:N72)</f>
        <v>991</v>
      </c>
    </row>
    <row r="73" spans="1:15" ht="12.75" hidden="1">
      <c r="A73" s="28">
        <v>34</v>
      </c>
      <c r="B73" s="29" t="s">
        <v>36</v>
      </c>
      <c r="C73" s="45"/>
      <c r="D73" s="46"/>
      <c r="E73" s="55"/>
      <c r="F73" s="56"/>
      <c r="G73" s="56"/>
      <c r="H73" s="56"/>
      <c r="I73" s="56"/>
      <c r="J73" s="56"/>
      <c r="K73" s="56"/>
      <c r="L73" s="56"/>
      <c r="M73" s="56"/>
      <c r="N73" s="56"/>
      <c r="O73" s="57"/>
    </row>
    <row r="74" spans="1:15" ht="12.75" hidden="1">
      <c r="A74" s="28">
        <v>35</v>
      </c>
      <c r="B74" s="29" t="s">
        <v>37</v>
      </c>
      <c r="C74" s="45"/>
      <c r="D74" s="46"/>
      <c r="E74" s="55"/>
      <c r="F74" s="56"/>
      <c r="G74" s="56"/>
      <c r="H74" s="56"/>
      <c r="I74" s="56"/>
      <c r="J74" s="56"/>
      <c r="K74" s="56"/>
      <c r="L74" s="56"/>
      <c r="M74" s="56"/>
      <c r="N74" s="56"/>
      <c r="O74" s="57"/>
    </row>
    <row r="75" spans="1:15" ht="12.75" hidden="1">
      <c r="A75" s="79">
        <v>36</v>
      </c>
      <c r="B75" s="82" t="s">
        <v>38</v>
      </c>
      <c r="C75" s="45"/>
      <c r="D75" s="46"/>
      <c r="E75" s="55"/>
      <c r="F75" s="56"/>
      <c r="G75" s="56"/>
      <c r="H75" s="56"/>
      <c r="I75" s="56"/>
      <c r="J75" s="56"/>
      <c r="K75" s="56"/>
      <c r="L75" s="56"/>
      <c r="M75" s="56"/>
      <c r="N75" s="56"/>
      <c r="O75" s="57"/>
    </row>
    <row r="76" spans="1:15" ht="12.75" hidden="1">
      <c r="A76" s="28">
        <v>37</v>
      </c>
      <c r="B76" s="29" t="s">
        <v>48</v>
      </c>
      <c r="C76" s="45"/>
      <c r="D76" s="46"/>
      <c r="E76" s="55"/>
      <c r="F76" s="56"/>
      <c r="G76" s="56"/>
      <c r="H76" s="56"/>
      <c r="I76" s="56"/>
      <c r="J76" s="56"/>
      <c r="K76" s="56"/>
      <c r="L76" s="56"/>
      <c r="M76" s="56"/>
      <c r="N76" s="56"/>
      <c r="O76" s="57"/>
    </row>
    <row r="77" spans="1:15" ht="15">
      <c r="A77" s="83">
        <v>38</v>
      </c>
      <c r="B77" s="86" t="s">
        <v>68</v>
      </c>
      <c r="C77" s="45">
        <v>523</v>
      </c>
      <c r="D77" s="46" t="s">
        <v>63</v>
      </c>
      <c r="E77" s="55">
        <v>67</v>
      </c>
      <c r="F77" s="56">
        <v>112</v>
      </c>
      <c r="G77" s="56">
        <v>43</v>
      </c>
      <c r="H77" s="56">
        <v>7</v>
      </c>
      <c r="I77" s="56">
        <v>1</v>
      </c>
      <c r="J77" s="56">
        <v>6</v>
      </c>
      <c r="K77" s="56">
        <v>3</v>
      </c>
      <c r="L77" s="56">
        <v>2</v>
      </c>
      <c r="M77" s="56">
        <v>0</v>
      </c>
      <c r="N77" s="56">
        <v>4</v>
      </c>
      <c r="O77" s="57">
        <f>SUM(E77:N77)</f>
        <v>245</v>
      </c>
    </row>
    <row r="78" spans="1:15" ht="12.75">
      <c r="A78" s="84"/>
      <c r="B78" s="87"/>
      <c r="C78" s="45">
        <v>534</v>
      </c>
      <c r="D78" s="46" t="s">
        <v>63</v>
      </c>
      <c r="E78" s="55">
        <v>129</v>
      </c>
      <c r="F78" s="56">
        <v>83</v>
      </c>
      <c r="G78" s="56">
        <v>53</v>
      </c>
      <c r="H78" s="56">
        <v>10</v>
      </c>
      <c r="I78" s="56">
        <v>1</v>
      </c>
      <c r="J78" s="56">
        <v>7</v>
      </c>
      <c r="K78" s="56">
        <v>3</v>
      </c>
      <c r="L78" s="56">
        <v>5</v>
      </c>
      <c r="M78" s="56">
        <v>0</v>
      </c>
      <c r="N78" s="56">
        <v>9</v>
      </c>
      <c r="O78" s="57">
        <f>SUM(E78:N78)</f>
        <v>300</v>
      </c>
    </row>
    <row r="79" spans="1:15" ht="12.75">
      <c r="A79" s="85"/>
      <c r="B79" s="98"/>
      <c r="C79" s="45">
        <v>5491</v>
      </c>
      <c r="D79" s="46" t="s">
        <v>63</v>
      </c>
      <c r="E79" s="55">
        <v>25</v>
      </c>
      <c r="F79" s="56">
        <v>113</v>
      </c>
      <c r="G79" s="56">
        <v>89</v>
      </c>
      <c r="H79" s="56">
        <v>9</v>
      </c>
      <c r="I79" s="56">
        <v>10</v>
      </c>
      <c r="J79" s="56">
        <v>0</v>
      </c>
      <c r="K79" s="56">
        <v>0</v>
      </c>
      <c r="L79" s="56">
        <v>1</v>
      </c>
      <c r="M79" s="56">
        <v>0</v>
      </c>
      <c r="N79" s="56">
        <v>310</v>
      </c>
      <c r="O79" s="57">
        <f>SUM(E79:N79)</f>
        <v>557</v>
      </c>
    </row>
    <row r="80" spans="1:15" ht="12.75">
      <c r="A80" s="79"/>
      <c r="B80" s="80" t="s">
        <v>65</v>
      </c>
      <c r="C80" s="45"/>
      <c r="D80" s="46"/>
      <c r="E80" s="55">
        <v>221</v>
      </c>
      <c r="F80" s="56">
        <v>308</v>
      </c>
      <c r="G80" s="56">
        <v>185</v>
      </c>
      <c r="H80" s="56">
        <v>26</v>
      </c>
      <c r="I80" s="56">
        <v>12</v>
      </c>
      <c r="J80" s="56">
        <v>13</v>
      </c>
      <c r="K80" s="56">
        <v>6</v>
      </c>
      <c r="L80" s="56">
        <v>8</v>
      </c>
      <c r="M80" s="56">
        <v>0</v>
      </c>
      <c r="N80" s="56">
        <v>323</v>
      </c>
      <c r="O80" s="57">
        <f>SUM(E80:N80)</f>
        <v>1102</v>
      </c>
    </row>
    <row r="81" spans="1:15" ht="12.75" hidden="1">
      <c r="A81" s="28">
        <v>39</v>
      </c>
      <c r="B81" s="29" t="s">
        <v>40</v>
      </c>
      <c r="C81" s="45"/>
      <c r="D81" s="46"/>
      <c r="E81" s="55"/>
      <c r="F81" s="56"/>
      <c r="G81" s="56"/>
      <c r="H81" s="56"/>
      <c r="I81" s="56"/>
      <c r="J81" s="56"/>
      <c r="K81" s="56"/>
      <c r="L81" s="56"/>
      <c r="M81" s="56"/>
      <c r="N81" s="56"/>
      <c r="O81" s="57"/>
    </row>
    <row r="82" spans="1:15" ht="12.75" hidden="1">
      <c r="A82" s="28">
        <v>40</v>
      </c>
      <c r="B82" s="29" t="s">
        <v>41</v>
      </c>
      <c r="C82" s="45"/>
      <c r="D82" s="46"/>
      <c r="E82" s="55"/>
      <c r="F82" s="56"/>
      <c r="G82" s="56"/>
      <c r="H82" s="56"/>
      <c r="I82" s="56"/>
      <c r="J82" s="56"/>
      <c r="K82" s="56"/>
      <c r="L82" s="56"/>
      <c r="M82" s="56"/>
      <c r="N82" s="56"/>
      <c r="O82" s="57"/>
    </row>
    <row r="83" spans="1:15" ht="12.75" hidden="1">
      <c r="A83" s="28">
        <v>41</v>
      </c>
      <c r="B83" s="29" t="s">
        <v>31</v>
      </c>
      <c r="C83" s="45"/>
      <c r="D83" s="46"/>
      <c r="E83" s="55"/>
      <c r="F83" s="56"/>
      <c r="G83" s="56"/>
      <c r="H83" s="56"/>
      <c r="I83" s="56"/>
      <c r="J83" s="56"/>
      <c r="K83" s="56"/>
      <c r="L83" s="56"/>
      <c r="M83" s="56"/>
      <c r="N83" s="56"/>
      <c r="O83" s="57"/>
    </row>
    <row r="84" spans="1:15" ht="12.75" hidden="1">
      <c r="A84" s="28">
        <v>42</v>
      </c>
      <c r="B84" s="29" t="s">
        <v>29</v>
      </c>
      <c r="C84" s="45"/>
      <c r="D84" s="46"/>
      <c r="E84" s="55"/>
      <c r="F84" s="56"/>
      <c r="G84" s="56"/>
      <c r="H84" s="56"/>
      <c r="I84" s="56"/>
      <c r="J84" s="56"/>
      <c r="K84" s="56"/>
      <c r="L84" s="56"/>
      <c r="M84" s="56"/>
      <c r="N84" s="56"/>
      <c r="O84" s="57"/>
    </row>
    <row r="85" spans="1:15" ht="12.75" hidden="1">
      <c r="A85" s="28">
        <v>43</v>
      </c>
      <c r="B85" s="29" t="s">
        <v>42</v>
      </c>
      <c r="C85" s="45"/>
      <c r="D85" s="46"/>
      <c r="E85" s="55"/>
      <c r="F85" s="56"/>
      <c r="G85" s="56"/>
      <c r="H85" s="56"/>
      <c r="I85" s="56"/>
      <c r="J85" s="56"/>
      <c r="K85" s="56"/>
      <c r="L85" s="56"/>
      <c r="M85" s="56"/>
      <c r="N85" s="56"/>
      <c r="O85" s="57"/>
    </row>
    <row r="86" spans="1:15" ht="12.75" hidden="1">
      <c r="A86" s="28">
        <v>44</v>
      </c>
      <c r="B86" s="29" t="s">
        <v>43</v>
      </c>
      <c r="C86" s="45"/>
      <c r="D86" s="46"/>
      <c r="E86" s="55"/>
      <c r="F86" s="56"/>
      <c r="G86" s="56"/>
      <c r="H86" s="56"/>
      <c r="I86" s="56"/>
      <c r="J86" s="56"/>
      <c r="K86" s="56"/>
      <c r="L86" s="56"/>
      <c r="M86" s="56"/>
      <c r="N86" s="56"/>
      <c r="O86" s="57"/>
    </row>
    <row r="87" spans="1:15" ht="12.75" hidden="1">
      <c r="A87" s="30">
        <v>45</v>
      </c>
      <c r="B87" s="31" t="s">
        <v>44</v>
      </c>
      <c r="C87" s="47"/>
      <c r="D87" s="48"/>
      <c r="E87" s="58"/>
      <c r="F87" s="59"/>
      <c r="G87" s="59"/>
      <c r="H87" s="59"/>
      <c r="I87" s="59"/>
      <c r="J87" s="59"/>
      <c r="K87" s="59"/>
      <c r="L87" s="59"/>
      <c r="M87" s="59"/>
      <c r="N87" s="59"/>
      <c r="O87" s="60"/>
    </row>
  </sheetData>
  <mergeCells count="1"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UIE</dc:creator>
  <cp:keywords/>
  <dc:description/>
  <cp:lastModifiedBy>uie</cp:lastModifiedBy>
  <cp:lastPrinted>2004-01-22T20:11:41Z</cp:lastPrinted>
  <dcterms:created xsi:type="dcterms:W3CDTF">2003-03-13T02:16:35Z</dcterms:created>
  <dcterms:modified xsi:type="dcterms:W3CDTF">2006-02-14T02:59:30Z</dcterms:modified>
  <cp:category/>
  <cp:version/>
  <cp:contentType/>
  <cp:contentStatus/>
</cp:coreProperties>
</file>